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showPivotChartFilter="1"/>
  <mc:AlternateContent xmlns:mc="http://schemas.openxmlformats.org/markup-compatibility/2006">
    <mc:Choice Requires="x15">
      <x15ac:absPath xmlns:x15ac="http://schemas.microsoft.com/office/spreadsheetml/2010/11/ac" url="/Users/Msrisn/2017/Extreme /7. Automatizari/Proiect CURS EXCEL/exel ninja/"/>
    </mc:Choice>
  </mc:AlternateContent>
  <bookViews>
    <workbookView xWindow="160" yWindow="580" windowWidth="20480" windowHeight="12440" tabRatio="883" firstSheet="1" activeTab="9"/>
  </bookViews>
  <sheets>
    <sheet name="Export factura" sheetId="1" r:id="rId1"/>
    <sheet name="Export chitanta" sheetId="13" r:id="rId2"/>
    <sheet name="." sheetId="9" r:id="rId3"/>
    <sheet name="Facturi" sheetId="3" r:id="rId4"/>
    <sheet name="Clienti" sheetId="2" r:id="rId5"/>
    <sheet name=".." sheetId="12" r:id="rId6"/>
    <sheet name="Incasat pe luna" sheetId="14" r:id="rId7"/>
    <sheet name="Facturat pe luna" sheetId="15" r:id="rId8"/>
    <sheet name="Incasari pe client" sheetId="16" r:id="rId9"/>
    <sheet name="linkuri  utile" sheetId="17" r:id="rId10"/>
  </sheets>
  <definedNames>
    <definedName name="_xlnm._FilterDatabase" localSheetId="4" hidden="1">Clienti!$A$1:$F$1</definedName>
    <definedName name="_xlnm.Print_Area" localSheetId="1">'Export chitanta'!$B$6:$L$45</definedName>
    <definedName name="_xlnm.Print_Area" localSheetId="0">'Export factura'!$B$1:$J$34</definedName>
  </definedNames>
  <calcPr calcId="150001" concurrentCalc="0"/>
  <pivotCaches>
    <pivotCache cacheId="5" r:id="rId11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3" l="1"/>
  <c r="K17" i="3"/>
  <c r="L17" i="3"/>
  <c r="O17" i="3"/>
  <c r="C16" i="3"/>
  <c r="K16" i="3"/>
  <c r="L16" i="3"/>
  <c r="O16" i="3"/>
  <c r="C15" i="3"/>
  <c r="K15" i="3"/>
  <c r="L15" i="3"/>
  <c r="O15" i="3"/>
  <c r="I29" i="1"/>
  <c r="O3" i="3"/>
  <c r="O4" i="3"/>
  <c r="O5" i="3"/>
  <c r="O6" i="3"/>
  <c r="O7" i="3"/>
  <c r="O8" i="3"/>
  <c r="O9" i="3"/>
  <c r="O10" i="3"/>
  <c r="O11" i="3"/>
  <c r="O12" i="3"/>
  <c r="O13" i="3"/>
  <c r="O14" i="3"/>
  <c r="O2" i="3"/>
  <c r="I5" i="1"/>
  <c r="G4" i="1"/>
  <c r="G3" i="1"/>
  <c r="C33" i="1"/>
  <c r="E44" i="13"/>
  <c r="C44" i="13"/>
  <c r="E16" i="13"/>
  <c r="C16" i="13"/>
  <c r="J45" i="13"/>
  <c r="H45" i="13"/>
  <c r="E34" i="13"/>
  <c r="K40" i="13"/>
  <c r="K39" i="13"/>
  <c r="D42" i="13"/>
  <c r="K42" i="13"/>
  <c r="K12" i="13"/>
  <c r="K11" i="13"/>
  <c r="J17" i="13"/>
  <c r="H17" i="13"/>
  <c r="D14" i="13"/>
  <c r="K14" i="13"/>
  <c r="E6" i="13"/>
  <c r="C14" i="3"/>
  <c r="K14" i="3"/>
  <c r="L14" i="3"/>
  <c r="C13" i="3"/>
  <c r="K13" i="3"/>
  <c r="L13" i="3"/>
  <c r="C15" i="13"/>
  <c r="H14" i="13"/>
  <c r="H42" i="13"/>
  <c r="C43" i="13"/>
  <c r="K2" i="3"/>
  <c r="L2" i="3"/>
  <c r="K3" i="3"/>
  <c r="L3" i="3"/>
  <c r="K4" i="3"/>
  <c r="L4" i="3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C12" i="3"/>
  <c r="C2" i="3"/>
  <c r="C3" i="3"/>
  <c r="C4" i="3"/>
  <c r="C5" i="3"/>
  <c r="C6" i="3"/>
  <c r="C7" i="3"/>
  <c r="C8" i="3"/>
  <c r="C9" i="3"/>
  <c r="C10" i="3"/>
  <c r="C11" i="3"/>
  <c r="G8" i="1"/>
  <c r="C20" i="1"/>
  <c r="C24" i="1"/>
  <c r="C28" i="1"/>
  <c r="C21" i="1"/>
  <c r="C25" i="1"/>
  <c r="C27" i="1"/>
  <c r="C22" i="1"/>
  <c r="C26" i="1"/>
  <c r="C23" i="1"/>
  <c r="D23" i="1"/>
  <c r="G14" i="1"/>
  <c r="G9" i="1"/>
  <c r="G10" i="1"/>
  <c r="G11" i="1"/>
  <c r="C19" i="1"/>
  <c r="G13" i="1"/>
  <c r="D21" i="1"/>
  <c r="I21" i="1"/>
  <c r="H21" i="1"/>
  <c r="G21" i="1"/>
  <c r="E21" i="1"/>
  <c r="F21" i="1"/>
  <c r="I22" i="1"/>
  <c r="F22" i="1"/>
  <c r="G22" i="1"/>
  <c r="H22" i="1"/>
  <c r="E22" i="1"/>
  <c r="D22" i="1"/>
  <c r="D28" i="1"/>
  <c r="F28" i="1"/>
  <c r="G28" i="1"/>
  <c r="E28" i="1"/>
  <c r="H28" i="1"/>
  <c r="I28" i="1"/>
  <c r="I26" i="1"/>
  <c r="D26" i="1"/>
  <c r="E26" i="1"/>
  <c r="H26" i="1"/>
  <c r="F26" i="1"/>
  <c r="G26" i="1"/>
  <c r="E27" i="1"/>
  <c r="F27" i="1"/>
  <c r="D27" i="1"/>
  <c r="G27" i="1"/>
  <c r="I27" i="1"/>
  <c r="H27" i="1"/>
  <c r="D24" i="1"/>
  <c r="I24" i="1"/>
  <c r="E24" i="1"/>
  <c r="H24" i="1"/>
  <c r="G24" i="1"/>
  <c r="F24" i="1"/>
  <c r="E23" i="1"/>
  <c r="H23" i="1"/>
  <c r="F23" i="1"/>
  <c r="G23" i="1"/>
  <c r="I23" i="1"/>
  <c r="D25" i="1"/>
  <c r="I25" i="1"/>
  <c r="G25" i="1"/>
  <c r="E25" i="1"/>
  <c r="F25" i="1"/>
  <c r="H25" i="1"/>
  <c r="D20" i="1"/>
  <c r="E20" i="1"/>
  <c r="H20" i="1"/>
  <c r="I20" i="1"/>
  <c r="G20" i="1"/>
  <c r="F20" i="1"/>
  <c r="F19" i="1"/>
  <c r="H19" i="1"/>
  <c r="G19" i="1"/>
  <c r="E19" i="1"/>
  <c r="D19" i="1"/>
  <c r="I19" i="1"/>
  <c r="H30" i="1"/>
  <c r="I30" i="1"/>
  <c r="H31" i="1"/>
</calcChain>
</file>

<file path=xl/sharedStrings.xml><?xml version="1.0" encoding="utf-8"?>
<sst xmlns="http://schemas.openxmlformats.org/spreadsheetml/2006/main" count="299" uniqueCount="136">
  <si>
    <t>Nr. Factura</t>
  </si>
  <si>
    <t>0001</t>
  </si>
  <si>
    <t>FURNIZOR</t>
  </si>
  <si>
    <t>FACTURA</t>
  </si>
  <si>
    <t>Nr. crt.</t>
  </si>
  <si>
    <t>Denumirea poduselor sau a serviciilor</t>
  </si>
  <si>
    <t>U.M.</t>
  </si>
  <si>
    <t>Cantitatea</t>
  </si>
  <si>
    <t>Pretul unitar</t>
  </si>
  <si>
    <t>Valoarea</t>
  </si>
  <si>
    <t>(fara TVA) - (Lei)</t>
  </si>
  <si>
    <t>(Lei)</t>
  </si>
  <si>
    <t>TVA - (Lei)</t>
  </si>
  <si>
    <t>5(3x4)</t>
  </si>
  <si>
    <t>Nume firma</t>
  </si>
  <si>
    <t>CUI</t>
  </si>
  <si>
    <t>Adresa</t>
  </si>
  <si>
    <t>IBAN</t>
  </si>
  <si>
    <t>Banca</t>
  </si>
  <si>
    <t>Descriere</t>
  </si>
  <si>
    <t>Pret unitar</t>
  </si>
  <si>
    <t>Valoare</t>
  </si>
  <si>
    <t>TVA</t>
  </si>
  <si>
    <t>Status</t>
  </si>
  <si>
    <t>0002</t>
  </si>
  <si>
    <t>0003</t>
  </si>
  <si>
    <t>0004</t>
  </si>
  <si>
    <t>0005</t>
  </si>
  <si>
    <t>Nr ORC</t>
  </si>
  <si>
    <t>0006</t>
  </si>
  <si>
    <t>0007</t>
  </si>
  <si>
    <t>0008</t>
  </si>
  <si>
    <t>0009</t>
  </si>
  <si>
    <t>Row Labels</t>
  </si>
  <si>
    <t>Grand Total</t>
  </si>
  <si>
    <t>Emisa catre</t>
  </si>
  <si>
    <t>Achitat</t>
  </si>
  <si>
    <t>UM</t>
  </si>
  <si>
    <t>ID</t>
  </si>
  <si>
    <t>0010</t>
  </si>
  <si>
    <t>Nr.</t>
  </si>
  <si>
    <t>ING</t>
  </si>
  <si>
    <t>0011</t>
  </si>
  <si>
    <t>0012</t>
  </si>
  <si>
    <t>RO16 INGB 0000 9999 0386 1320</t>
  </si>
  <si>
    <t>Seria</t>
  </si>
  <si>
    <t>Nr factura</t>
  </si>
  <si>
    <t>Furnizor</t>
  </si>
  <si>
    <t>SC Learnvest SRL-D</t>
  </si>
  <si>
    <t>Reg. com.</t>
  </si>
  <si>
    <t>J5/816/2013</t>
  </si>
  <si>
    <t>CIF</t>
  </si>
  <si>
    <t>RO 31645554</t>
  </si>
  <si>
    <t>Cont</t>
  </si>
  <si>
    <t xml:space="preserve">Banca: </t>
  </si>
  <si>
    <t>Adresa:</t>
  </si>
  <si>
    <t>Str. Gheorghe Doja, Nr. 49A, Oradea, Jud. Bihor</t>
  </si>
  <si>
    <t>Am primit de la</t>
  </si>
  <si>
    <t>Suma de</t>
  </si>
  <si>
    <t>Nr</t>
  </si>
  <si>
    <t>din data</t>
  </si>
  <si>
    <t>CHITANTA</t>
  </si>
  <si>
    <t xml:space="preserve">Seria </t>
  </si>
  <si>
    <t>BIZ</t>
  </si>
  <si>
    <t>adica</t>
  </si>
  <si>
    <t>reprezentand contravaloarea facturii seria BIZ</t>
  </si>
  <si>
    <t>Data (zi, luna, an)</t>
  </si>
  <si>
    <t>BIZ Nr.</t>
  </si>
  <si>
    <t>Suma</t>
  </si>
  <si>
    <t>Reprezentand</t>
  </si>
  <si>
    <t>Jul</t>
  </si>
  <si>
    <t>Aug</t>
  </si>
  <si>
    <t>Sep</t>
  </si>
  <si>
    <t>Oct</t>
  </si>
  <si>
    <t>Nov</t>
  </si>
  <si>
    <t>2014</t>
  </si>
  <si>
    <t>Dec</t>
  </si>
  <si>
    <t>Semnatura de primire</t>
  </si>
  <si>
    <t>buc</t>
  </si>
  <si>
    <t>CLIENT</t>
  </si>
  <si>
    <t>Termen de plata</t>
  </si>
  <si>
    <t xml:space="preserve">Termen de plata: </t>
  </si>
  <si>
    <t xml:space="preserve">Semnatura, stampila furnizorului
</t>
  </si>
  <si>
    <t>Model factura luat de pe excelninja.ro</t>
  </si>
  <si>
    <t>Data 
incasarii</t>
  </si>
  <si>
    <t>Nr 
CRT</t>
  </si>
  <si>
    <t>Data 
emiterii</t>
  </si>
  <si>
    <t>Cota 
TVA</t>
  </si>
  <si>
    <t>SC CLIENT 1</t>
  </si>
  <si>
    <t>SC CLIENT 2</t>
  </si>
  <si>
    <t>SC CLIENT 3</t>
  </si>
  <si>
    <t>SC CLIENT 4</t>
  </si>
  <si>
    <t>SC CLIENT 5</t>
  </si>
  <si>
    <t>SC CLIENT 6</t>
  </si>
  <si>
    <t>SC CLIENT 7</t>
  </si>
  <si>
    <t>SC CLIENT 8</t>
  </si>
  <si>
    <t>SC CLIENT 9</t>
  </si>
  <si>
    <t>SC CLIENT 10</t>
  </si>
  <si>
    <t>SC CLIENT 11</t>
  </si>
  <si>
    <t>SC CLIENT 12</t>
  </si>
  <si>
    <t>RO XXXXXXXX</t>
  </si>
  <si>
    <t>J05/XXX/XXXX</t>
  </si>
  <si>
    <t>Adresa …</t>
  </si>
  <si>
    <t>XXXX XXXX XXXX XXXX XXXX XXXX</t>
  </si>
  <si>
    <t>Banca …</t>
  </si>
  <si>
    <r>
      <rPr>
        <b/>
        <sz val="10"/>
        <color rgb="FF000000"/>
        <rFont val="Calibri"/>
        <family val="2"/>
        <scheme val="minor"/>
      </rPr>
      <t>Intocmit de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CNP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BI/CI</t>
    </r>
    <r>
      <rPr>
        <sz val="10"/>
        <color rgb="FF000000"/>
        <rFont val="Calibri"/>
        <family val="2"/>
        <scheme val="minor"/>
      </rPr>
      <t xml:space="preserve">: </t>
    </r>
  </si>
  <si>
    <r>
      <rPr>
        <b/>
        <sz val="10"/>
        <color rgb="FF000000"/>
        <rFont val="Calibri"/>
        <family val="2"/>
        <scheme val="minor"/>
      </rPr>
      <t>Numele delegatului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Mijloc de transport</t>
    </r>
    <r>
      <rPr>
        <sz val="10"/>
        <color rgb="FF000000"/>
        <rFont val="Calibri"/>
        <family val="2"/>
        <scheme val="minor"/>
      </rPr>
      <t xml:space="preserve">: 
</t>
    </r>
  </si>
  <si>
    <t>Prestari servicii cf. contract. …</t>
  </si>
  <si>
    <t>(blank)</t>
  </si>
  <si>
    <t>Total fara TVA</t>
  </si>
  <si>
    <t>Suma fara TVA</t>
  </si>
  <si>
    <t>(Multiple Items)</t>
  </si>
  <si>
    <t>Valoare fara TVA</t>
  </si>
  <si>
    <t>SC FIRMA MEA SRL</t>
  </si>
  <si>
    <t xml:space="preserve">Reg. Com.: </t>
  </si>
  <si>
    <t xml:space="preserve">CIF: </t>
  </si>
  <si>
    <t xml:space="preserve">Adresa: </t>
  </si>
  <si>
    <t xml:space="preserve">IBAN: </t>
  </si>
  <si>
    <t>ZZZ</t>
  </si>
  <si>
    <t>0015</t>
  </si>
  <si>
    <t>cinci sute lei</t>
  </si>
  <si>
    <t>Total 
de plata 
(Lei)</t>
  </si>
  <si>
    <t>Total 
(Lei)</t>
  </si>
  <si>
    <t>0013</t>
  </si>
  <si>
    <t>0014</t>
  </si>
  <si>
    <t>0016</t>
  </si>
  <si>
    <t>Folosind Excel in mod inteligent economisesti timpul tau, cel mai pretios lucru din lume!</t>
  </si>
  <si>
    <t>Daca doresti să participi la un curs exel nivel intermediar avansat viziteaza www.traininguri.ro/agendă-cursuri si vezi cand este programat cursul de excel.</t>
  </si>
  <si>
    <t>Mai multe detalii despre Radu Popa poti afla aici: https://www.traininguri.ro/radu-popa/</t>
  </si>
  <si>
    <t>Linkuri utile cursuri excel:</t>
  </si>
  <si>
    <t>Curs Excel Timisoara: https://www.traininguri.ro/curs-excel-timisoara/</t>
  </si>
  <si>
    <t xml:space="preserve">Curs Excel Bucuresti: https://www.traininguri.ro/curs-excel/ </t>
  </si>
  <si>
    <t xml:space="preserve">Curs Excel Cluj: https://www.traininguri.ro/curs-excel-cluj/ </t>
  </si>
  <si>
    <t xml:space="preserve">Cursuri Excel pentru companii: https://www.traininguri.ro/cursuri-excel-in-companii/ </t>
  </si>
  <si>
    <t xml:space="preserve">Agenda cursuri Extreme Training: https://www.traininguri.ro/agenda-cursuri/ </t>
  </si>
  <si>
    <t>Scurt Tutorial video: cum sa folosesti corect acest model factura excel: https://www.traininguri.ro/model-factura-excel/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</si>
</sst>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lei&quot;;[Red]\-#,##0\ &quot;lei&quot;"/>
    <numFmt numFmtId="165" formatCode="#,##0.00\ &quot;lei&quot;"/>
    <numFmt numFmtId="166" formatCode="yyyy\-mm\-dd;@"/>
    <numFmt numFmtId="167" formatCode="yyyy/mm/dd;@"/>
    <numFmt numFmtId="168" formatCode="#,##0\ &quot;lei&quot;"/>
  </numFmts>
  <fonts count="12" x14ac:knownFonts="1">
    <font>
      <sz val="10"/>
      <color rgb="FF000000"/>
      <name val="Arial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2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</font>
    <font>
      <u/>
      <sz val="10"/>
      <color theme="10"/>
      <name val="Arial"/>
    </font>
    <font>
      <b/>
      <sz val="12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6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8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vertical="top" wrapText="1"/>
    </xf>
    <xf numFmtId="166" fontId="1" fillId="0" borderId="0" xfId="0" applyNumberFormat="1" applyFont="1" applyAlignment="1">
      <alignment wrapText="1"/>
    </xf>
    <xf numFmtId="167" fontId="1" fillId="0" borderId="0" xfId="0" applyNumberFormat="1" applyFont="1" applyAlignment="1">
      <alignment vertical="top" wrapText="1"/>
    </xf>
    <xf numFmtId="167" fontId="1" fillId="0" borderId="0" xfId="0" applyNumberFormat="1" applyFont="1" applyAlignment="1">
      <alignment wrapText="1"/>
    </xf>
    <xf numFmtId="49" fontId="1" fillId="0" borderId="0" xfId="0" applyNumberFormat="1" applyFont="1" applyBorder="1" applyAlignment="1">
      <alignment vertical="top" wrapText="1"/>
    </xf>
    <xf numFmtId="167" fontId="1" fillId="0" borderId="0" xfId="0" applyNumberFormat="1" applyFont="1" applyBorder="1" applyAlignment="1">
      <alignment vertical="top" wrapText="1"/>
    </xf>
    <xf numFmtId="165" fontId="1" fillId="0" borderId="0" xfId="0" applyNumberFormat="1" applyFont="1" applyBorder="1" applyAlignment="1">
      <alignment vertical="top" wrapText="1"/>
    </xf>
    <xf numFmtId="166" fontId="1" fillId="0" borderId="0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165" fontId="3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0" fontId="1" fillId="0" borderId="0" xfId="0" applyNumberFormat="1" applyFont="1" applyAlignment="1">
      <alignment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165" fontId="3" fillId="0" borderId="0" xfId="0" applyNumberFormat="1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vertical="center"/>
    </xf>
    <xf numFmtId="14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9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9" fontId="1" fillId="0" borderId="0" xfId="1" applyFont="1" applyAlignment="1">
      <alignment vertical="top" wrapText="1"/>
    </xf>
    <xf numFmtId="9" fontId="1" fillId="0" borderId="0" xfId="1" applyFont="1" applyAlignment="1">
      <alignment wrapText="1"/>
    </xf>
    <xf numFmtId="0" fontId="1" fillId="0" borderId="11" xfId="0" applyFont="1" applyBorder="1" applyAlignment="1">
      <alignment horizontal="right" vertical="top" wrapText="1"/>
    </xf>
    <xf numFmtId="0" fontId="1" fillId="0" borderId="9" xfId="0" applyFont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wrapText="1"/>
    </xf>
    <xf numFmtId="0" fontId="2" fillId="10" borderId="0" xfId="0" applyFont="1" applyFill="1" applyBorder="1" applyAlignment="1">
      <alignment horizontal="right" vertical="center" wrapText="1"/>
    </xf>
    <xf numFmtId="0" fontId="1" fillId="10" borderId="0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horizontal="right" vertical="center" wrapText="1"/>
    </xf>
    <xf numFmtId="0" fontId="1" fillId="10" borderId="8" xfId="0" applyFont="1" applyFill="1" applyBorder="1" applyAlignment="1">
      <alignment vertical="center" wrapText="1"/>
    </xf>
    <xf numFmtId="9" fontId="1" fillId="10" borderId="8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11" borderId="0" xfId="0" applyFont="1" applyFill="1" applyAlignment="1">
      <alignment wrapText="1"/>
    </xf>
    <xf numFmtId="0" fontId="1" fillId="11" borderId="0" xfId="0" applyFont="1" applyFill="1" applyBorder="1" applyAlignment="1">
      <alignment wrapText="1"/>
    </xf>
    <xf numFmtId="49" fontId="1" fillId="10" borderId="4" xfId="0" applyNumberFormat="1" applyFont="1" applyFill="1" applyBorder="1" applyAlignment="1">
      <alignment vertical="center" wrapText="1"/>
    </xf>
    <xf numFmtId="0" fontId="1" fillId="10" borderId="4" xfId="0" applyFont="1" applyFill="1" applyBorder="1" applyAlignment="1">
      <alignment wrapText="1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66" fontId="1" fillId="10" borderId="4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9" fontId="1" fillId="0" borderId="0" xfId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8" fillId="0" borderId="0" xfId="0" pivotButton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NumberFormat="1" applyFont="1" applyAlignment="1">
      <alignment wrapText="1"/>
    </xf>
    <xf numFmtId="0" fontId="8" fillId="0" borderId="0" xfId="0" applyFont="1" applyAlignment="1">
      <alignment horizontal="left" wrapText="1" indent="1"/>
    </xf>
    <xf numFmtId="49" fontId="8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vertical="top" wrapText="1"/>
    </xf>
    <xf numFmtId="167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9" fontId="8" fillId="0" borderId="0" xfId="1" applyFont="1" applyAlignment="1">
      <alignment vertical="top" wrapText="1"/>
    </xf>
    <xf numFmtId="165" fontId="8" fillId="0" borderId="0" xfId="0" applyNumberFormat="1" applyFont="1" applyAlignment="1">
      <alignment vertical="top" wrapText="1"/>
    </xf>
    <xf numFmtId="166" fontId="8" fillId="0" borderId="0" xfId="0" applyNumberFormat="1" applyFont="1" applyAlignment="1">
      <alignment vertical="top" wrapText="1"/>
    </xf>
    <xf numFmtId="1" fontId="1" fillId="5" borderId="4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2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7" fillId="10" borderId="8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7" fontId="1" fillId="10" borderId="7" xfId="0" applyNumberFormat="1" applyFont="1" applyFill="1" applyBorder="1" applyAlignment="1">
      <alignment horizontal="right" vertical="center" wrapText="1"/>
    </xf>
    <xf numFmtId="0" fontId="1" fillId="10" borderId="0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right" vertical="top" wrapText="1"/>
    </xf>
    <xf numFmtId="0" fontId="2" fillId="10" borderId="3" xfId="0" applyFont="1" applyFill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9" borderId="4" xfId="0" applyFont="1" applyFill="1" applyBorder="1" applyAlignment="1">
      <alignment horizontal="right" vertical="center"/>
    </xf>
    <xf numFmtId="168" fontId="1" fillId="0" borderId="4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Percent" xfId="1" builtinId="5"/>
  </cellStyles>
  <dxfs count="41"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166" formatCode="yyyy\-mm\-d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66" formatCode="yyyy\-mm\-dd;@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#,##0.00\ &quot;lei&quot;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#,##0.00\ &quot;lei&quot;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#,##0.00\ &quot;lei&quot;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#,##0.00\ &quot;lei&quot;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167" formatCode="yyyy/mm/d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[Program facturare Excel v2.xlsx]Incasat pe luna!PivotTable1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'Incasat pe luna'!$B$3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'Incasat pe luna'!$A$4:$A$10</c:f>
              <c:multiLvlStrCache>
                <c:ptCount val="5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</c:lvl>
                <c:lvl>
                  <c:pt idx="0">
                    <c:v>2014</c:v>
                  </c:pt>
                </c:lvl>
              </c:multiLvlStrCache>
            </c:multiLvlStrRef>
          </c:cat>
          <c:val>
            <c:numRef>
              <c:f>'Incasat pe luna'!$B$4:$B$10</c:f>
              <c:numCache>
                <c:formatCode>General</c:formatCode>
                <c:ptCount val="5"/>
                <c:pt idx="0">
                  <c:v>580.0</c:v>
                </c:pt>
                <c:pt idx="1">
                  <c:v>1292.0</c:v>
                </c:pt>
                <c:pt idx="2">
                  <c:v>2450.0</c:v>
                </c:pt>
                <c:pt idx="3">
                  <c:v>4155.0</c:v>
                </c:pt>
                <c:pt idx="4">
                  <c:v>5000.0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0868560"/>
        <c:axId val="950233216"/>
      </c:lineChart>
      <c:catAx>
        <c:axId val="95086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233216"/>
        <c:crosses val="autoZero"/>
        <c:auto val="1"/>
        <c:lblAlgn val="ctr"/>
        <c:lblOffset val="100"/>
        <c:noMultiLvlLbl val="0"/>
      </c:catAx>
      <c:valAx>
        <c:axId val="95023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86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[Program facturare Excel v2.xlsx]Facturat pe luna!PivotTable2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'Facturat pe luna'!$B$3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'Facturat pe luna'!$A$4:$A$11</c:f>
              <c:multiLvlStrCache>
                <c:ptCount val="6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</c:lvl>
                <c:lvl>
                  <c:pt idx="0">
                    <c:v>2014</c:v>
                  </c:pt>
                </c:lvl>
              </c:multiLvlStrCache>
            </c:multiLvlStrRef>
          </c:cat>
          <c:val>
            <c:numRef>
              <c:f>'Facturat pe luna'!$B$4:$B$11</c:f>
              <c:numCache>
                <c:formatCode>General</c:formatCode>
                <c:ptCount val="6"/>
                <c:pt idx="0">
                  <c:v>1265.0</c:v>
                </c:pt>
                <c:pt idx="1">
                  <c:v>2607.0</c:v>
                </c:pt>
                <c:pt idx="2">
                  <c:v>2030.0</c:v>
                </c:pt>
                <c:pt idx="3">
                  <c:v>2575.0</c:v>
                </c:pt>
                <c:pt idx="4">
                  <c:v>11000.0</c:v>
                </c:pt>
                <c:pt idx="5">
                  <c:v>25363.0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03725200"/>
        <c:axId val="952684640"/>
      </c:lineChart>
      <c:catAx>
        <c:axId val="90372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684640"/>
        <c:crosses val="autoZero"/>
        <c:auto val="1"/>
        <c:lblAlgn val="ctr"/>
        <c:lblOffset val="100"/>
        <c:noMultiLvlLbl val="0"/>
      </c:catAx>
      <c:valAx>
        <c:axId val="95268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7252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[Program facturare Excel v2.xlsx]Incasari pe client!PivotTable3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'Incasari pe client'!$B$1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'Incasari pe client'!$A$2:$A$15</c:f>
              <c:strCache>
                <c:ptCount val="13"/>
                <c:pt idx="0">
                  <c:v>SC CLIENT 6</c:v>
                </c:pt>
                <c:pt idx="1">
                  <c:v>SC CLIENT 11</c:v>
                </c:pt>
                <c:pt idx="2">
                  <c:v>SC CLIENT 10</c:v>
                </c:pt>
                <c:pt idx="3">
                  <c:v>SC CLIENT 5</c:v>
                </c:pt>
                <c:pt idx="4">
                  <c:v>SC CLIENT 8</c:v>
                </c:pt>
                <c:pt idx="5">
                  <c:v>SC CLIENT 7</c:v>
                </c:pt>
                <c:pt idx="6">
                  <c:v>SC CLIENT 3</c:v>
                </c:pt>
                <c:pt idx="7">
                  <c:v>SC CLIENT 12</c:v>
                </c:pt>
                <c:pt idx="8">
                  <c:v>SC CLIENT 4</c:v>
                </c:pt>
                <c:pt idx="9">
                  <c:v>SC CLIENT 2</c:v>
                </c:pt>
                <c:pt idx="10">
                  <c:v>SC CLIENT 9</c:v>
                </c:pt>
                <c:pt idx="11">
                  <c:v>SC CLIENT 1</c:v>
                </c:pt>
                <c:pt idx="12">
                  <c:v>(blank)</c:v>
                </c:pt>
              </c:strCache>
            </c:strRef>
          </c:cat>
          <c:val>
            <c:numRef>
              <c:f>'Incasari pe client'!$B$2:$B$15</c:f>
              <c:numCache>
                <c:formatCode>General</c:formatCode>
                <c:ptCount val="13"/>
                <c:pt idx="0">
                  <c:v>23450.0</c:v>
                </c:pt>
                <c:pt idx="1">
                  <c:v>6000.0</c:v>
                </c:pt>
                <c:pt idx="2">
                  <c:v>5000.0</c:v>
                </c:pt>
                <c:pt idx="3">
                  <c:v>2888.0</c:v>
                </c:pt>
                <c:pt idx="4">
                  <c:v>2200.0</c:v>
                </c:pt>
                <c:pt idx="5">
                  <c:v>1580.0</c:v>
                </c:pt>
                <c:pt idx="6">
                  <c:v>1285.0</c:v>
                </c:pt>
                <c:pt idx="7">
                  <c:v>875.0</c:v>
                </c:pt>
                <c:pt idx="8">
                  <c:v>607.0</c:v>
                </c:pt>
                <c:pt idx="9">
                  <c:v>440.0</c:v>
                </c:pt>
                <c:pt idx="10">
                  <c:v>375.0</c:v>
                </c:pt>
                <c:pt idx="11">
                  <c:v>140.0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0</xdr:row>
      <xdr:rowOff>61912</xdr:rowOff>
    </xdr:from>
    <xdr:to>
      <xdr:col>12</xdr:col>
      <xdr:colOff>581024</xdr:colOff>
      <xdr:row>16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0</xdr:row>
      <xdr:rowOff>52387</xdr:rowOff>
    </xdr:from>
    <xdr:to>
      <xdr:col>12</xdr:col>
      <xdr:colOff>47624</xdr:colOff>
      <xdr:row>17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42861</xdr:rowOff>
    </xdr:from>
    <xdr:to>
      <xdr:col>11</xdr:col>
      <xdr:colOff>485775</xdr:colOff>
      <xdr:row>19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du Popa" refreshedDate="41864.633832291664" createdVersion="5" refreshedVersion="5" minRefreshableVersion="3" recordCount="64">
  <cacheSource type="worksheet">
    <worksheetSource ref="A1:O1048576" sheet="Facturi"/>
  </cacheSource>
  <cacheFields count="17">
    <cacheField name="Nr." numFmtId="49">
      <sharedItems containsBlank="1"/>
    </cacheField>
    <cacheField name="Nr _x000a_CRT" numFmtId="0">
      <sharedItems containsString="0" containsBlank="1" containsNumber="1" containsInteger="1" minValue="1" maxValue="2"/>
    </cacheField>
    <cacheField name="ID" numFmtId="0">
      <sharedItems containsBlank="1"/>
    </cacheField>
    <cacheField name="Data _x000a_emiterii" numFmtId="167">
      <sharedItems containsNonDate="0" containsDate="1" containsString="0" containsBlank="1" minDate="2014-07-01T00:00:00" maxDate="2014-12-21T00:00:00" count="16">
        <d v="2014-07-01T00:00:00"/>
        <d v="2014-07-15T00:00:00"/>
        <d v="2014-07-29T00:00:00"/>
        <d v="2014-08-12T00:00:00"/>
        <d v="2014-08-26T00:00:00"/>
        <d v="2014-09-09T00:00:00"/>
        <d v="2014-09-23T00:00:00"/>
        <d v="2014-10-07T00:00:00"/>
        <d v="2014-10-21T00:00:00"/>
        <d v="2014-11-04T00:00:00"/>
        <d v="2014-11-18T00:00:00"/>
        <d v="2014-12-02T00:00:00"/>
        <d v="2014-12-16T00:00:00"/>
        <d v="2014-12-18T00:00:00"/>
        <d v="2014-12-20T00:00:00"/>
        <m/>
      </sharedItems>
      <fieldGroup par="16" base="3">
        <rangePr groupBy="months" startDate="2014-07-01T00:00:00" endDate="2014-12-21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1/2014"/>
        </groupItems>
      </fieldGroup>
    </cacheField>
    <cacheField name="Descriere" numFmtId="0">
      <sharedItems containsBlank="1"/>
    </cacheField>
    <cacheField name="Emisa catre" numFmtId="0">
      <sharedItems containsBlank="1" count="13">
        <s v="SC CLIENT 1"/>
        <s v="SC CLIENT 2"/>
        <s v="SC CLIENT 3"/>
        <s v="SC CLIENT 4"/>
        <s v="SC CLIENT 5"/>
        <s v="SC CLIENT 6"/>
        <s v="SC CLIENT 7"/>
        <s v="SC CLIENT 8"/>
        <s v="SC CLIENT 9"/>
        <s v="SC CLIENT 10"/>
        <s v="SC CLIENT 11"/>
        <s v="SC CLIENT 12"/>
        <m/>
      </sharedItems>
    </cacheField>
    <cacheField name="Cota _x000a_TVA" numFmtId="9">
      <sharedItems containsString="0" containsBlank="1" containsNumber="1" minValue="0.24" maxValue="0.24"/>
    </cacheField>
    <cacheField name="UM" numFmtId="0">
      <sharedItems containsBlank="1"/>
    </cacheField>
    <cacheField name="Cantitatea" numFmtId="0">
      <sharedItems containsString="0" containsBlank="1" containsNumber="1" containsInteger="1" minValue="1" maxValue="2"/>
    </cacheField>
    <cacheField name="Pret unitar" numFmtId="165">
      <sharedItems containsString="0" containsBlank="1" containsNumber="1" containsInteger="1" minValue="140" maxValue="10000"/>
    </cacheField>
    <cacheField name="Valoare" numFmtId="165">
      <sharedItems containsString="0" containsBlank="1" containsNumber="1" containsInteger="1" minValue="140" maxValue="20000"/>
    </cacheField>
    <cacheField name="TVA" numFmtId="165">
      <sharedItems containsString="0" containsBlank="1" containsNumber="1" minValue="33.6" maxValue="4800"/>
    </cacheField>
    <cacheField name="Termen de plata" numFmtId="166">
      <sharedItems containsNonDate="0" containsDate="1" containsString="0" containsBlank="1" minDate="2014-07-15T00:00:00" maxDate="2015-02-02T00:00:00"/>
    </cacheField>
    <cacheField name="Data _x000a_incasarii" numFmtId="166">
      <sharedItems containsNonDate="0" containsDate="1" containsString="0" containsBlank="1" minDate="2014-07-15T00:00:00" maxDate="2014-11-10T00:00:00" count="11">
        <d v="2014-07-15T00:00:00"/>
        <d v="2014-07-28T00:00:00"/>
        <d v="2014-08-10T00:00:00"/>
        <d v="2014-08-23T00:00:00"/>
        <d v="2014-09-05T00:00:00"/>
        <d v="2014-09-18T00:00:00"/>
        <d v="2014-10-01T00:00:00"/>
        <d v="2014-10-14T00:00:00"/>
        <d v="2014-10-27T00:00:00"/>
        <d v="2014-11-09T00:00:00"/>
        <m/>
      </sharedItems>
      <fieldGroup par="15" base="13">
        <rangePr groupBy="months" startDate="2014-07-15T00:00:00" endDate="2014-11-10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1/10/2014"/>
        </groupItems>
      </fieldGroup>
    </cacheField>
    <cacheField name="Status" numFmtId="0">
      <sharedItems containsBlank="1" count="3">
        <s v="Achitat"/>
        <s v="Neachitat"/>
        <m/>
      </sharedItems>
    </cacheField>
    <cacheField name="Years" numFmtId="0" databaseField="0">
      <fieldGroup base="13">
        <rangePr groupBy="years" startDate="2014-07-15T00:00:00" endDate="2014-11-10T00:00:00"/>
        <groupItems count="3">
          <s v="&lt;7/15/2014"/>
          <s v="2014"/>
          <s v="&gt;11/10/2014"/>
        </groupItems>
      </fieldGroup>
    </cacheField>
    <cacheField name="Years2" numFmtId="0" databaseField="0">
      <fieldGroup base="3">
        <rangePr groupBy="years" startDate="2014-07-01T00:00:00" endDate="2014-12-21T00:00:00"/>
        <groupItems count="3">
          <s v="&lt;7/1/2014"/>
          <s v="2014"/>
          <s v="&gt;12/21/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s v="0001"/>
    <n v="1"/>
    <s v="0001-1"/>
    <x v="0"/>
    <s v="Prestari servicii cf. contract. …"/>
    <x v="0"/>
    <n v="0.24"/>
    <s v="buc"/>
    <n v="1"/>
    <n v="140"/>
    <n v="140"/>
    <n v="33.6"/>
    <d v="2014-07-15T00:00:00"/>
    <x v="0"/>
    <x v="0"/>
  </r>
  <r>
    <s v="0002"/>
    <n v="1"/>
    <s v="0002-1"/>
    <x v="1"/>
    <s v="Prestari servicii cf. contract. …"/>
    <x v="1"/>
    <n v="0.24"/>
    <s v="buc"/>
    <n v="1"/>
    <n v="440"/>
    <n v="440"/>
    <n v="105.6"/>
    <d v="2014-07-28T00:00:00"/>
    <x v="1"/>
    <x v="0"/>
  </r>
  <r>
    <s v="0003"/>
    <n v="1"/>
    <s v="0003-1"/>
    <x v="2"/>
    <s v="Prestari servicii cf. contract. …"/>
    <x v="2"/>
    <n v="0.24"/>
    <s v="buc"/>
    <n v="1"/>
    <n v="685"/>
    <n v="685"/>
    <n v="164.4"/>
    <d v="2014-08-10T00:00:00"/>
    <x v="2"/>
    <x v="0"/>
  </r>
  <r>
    <s v="0004"/>
    <n v="1"/>
    <s v="0004-1"/>
    <x v="3"/>
    <s v="Prestari servicii cf. contract. …"/>
    <x v="3"/>
    <n v="0.24"/>
    <s v="buc"/>
    <n v="1"/>
    <n v="607"/>
    <n v="607"/>
    <n v="145.68"/>
    <d v="2014-08-23T00:00:00"/>
    <x v="3"/>
    <x v="0"/>
  </r>
  <r>
    <s v="0005"/>
    <n v="1"/>
    <s v="0005-1"/>
    <x v="4"/>
    <s v="Prestari servicii cf. contract. …"/>
    <x v="4"/>
    <n v="0.24"/>
    <s v="buc"/>
    <n v="1"/>
    <n v="2000"/>
    <n v="2000"/>
    <n v="480"/>
    <d v="2014-09-05T00:00:00"/>
    <x v="4"/>
    <x v="0"/>
  </r>
  <r>
    <s v="0006"/>
    <n v="1"/>
    <s v="0006-1"/>
    <x v="5"/>
    <s v="Prestari servicii cf. contract. …"/>
    <x v="5"/>
    <n v="0.24"/>
    <s v="buc"/>
    <n v="1"/>
    <n v="450"/>
    <n v="450"/>
    <n v="108"/>
    <d v="2014-09-18T00:00:00"/>
    <x v="5"/>
    <x v="0"/>
  </r>
  <r>
    <s v="0007"/>
    <n v="1"/>
    <s v="0007-1"/>
    <x v="6"/>
    <s v="Prestari servicii cf. contract. …"/>
    <x v="6"/>
    <n v="0.24"/>
    <s v="buc"/>
    <n v="1"/>
    <n v="1580"/>
    <n v="1580"/>
    <n v="379.2"/>
    <d v="2014-10-01T00:00:00"/>
    <x v="6"/>
    <x v="0"/>
  </r>
  <r>
    <s v="0008"/>
    <n v="1"/>
    <s v="0008-1"/>
    <x v="7"/>
    <s v="Prestari servicii cf. contract. …"/>
    <x v="7"/>
    <n v="0.24"/>
    <s v="buc"/>
    <n v="1"/>
    <n v="2200"/>
    <n v="2200"/>
    <n v="528"/>
    <d v="2014-10-14T00:00:00"/>
    <x v="7"/>
    <x v="0"/>
  </r>
  <r>
    <s v="0009"/>
    <n v="1"/>
    <s v="0009-1"/>
    <x v="8"/>
    <s v="Prestari servicii cf. contract. …"/>
    <x v="8"/>
    <n v="0.24"/>
    <s v="buc"/>
    <n v="1"/>
    <n v="375"/>
    <n v="375"/>
    <n v="90"/>
    <d v="2014-10-27T00:00:00"/>
    <x v="8"/>
    <x v="0"/>
  </r>
  <r>
    <s v="0010"/>
    <n v="1"/>
    <s v="0010-1"/>
    <x v="9"/>
    <s v="Prestari servicii cf. contract. …"/>
    <x v="9"/>
    <n v="0.24"/>
    <s v="buc"/>
    <n v="1"/>
    <n v="5000"/>
    <n v="5000"/>
    <n v="1200"/>
    <d v="2014-11-09T00:00:00"/>
    <x v="9"/>
    <x v="0"/>
  </r>
  <r>
    <s v="0011"/>
    <n v="1"/>
    <s v="0011-1"/>
    <x v="10"/>
    <s v="Prestari servicii cf. contract. …"/>
    <x v="10"/>
    <n v="0.24"/>
    <s v="buc"/>
    <n v="1"/>
    <n v="6000"/>
    <n v="6000"/>
    <n v="1440"/>
    <d v="2014-11-22T00:00:00"/>
    <x v="10"/>
    <x v="1"/>
  </r>
  <r>
    <s v="0012"/>
    <n v="1"/>
    <s v="0012-1"/>
    <x v="11"/>
    <s v="Prestari servicii cf. contract. …"/>
    <x v="11"/>
    <n v="0.24"/>
    <s v="buc"/>
    <n v="1"/>
    <n v="875"/>
    <n v="875"/>
    <n v="210"/>
    <d v="2014-12-05T00:00:00"/>
    <x v="10"/>
    <x v="1"/>
  </r>
  <r>
    <s v="0013"/>
    <n v="1"/>
    <s v="0013-1"/>
    <x v="12"/>
    <s v="Prestari servicii cf. contract. …"/>
    <x v="2"/>
    <n v="0.24"/>
    <s v="buc"/>
    <n v="1"/>
    <n v="600"/>
    <n v="600"/>
    <n v="144"/>
    <d v="2014-12-18T00:00:00"/>
    <x v="10"/>
    <x v="1"/>
  </r>
  <r>
    <s v="0014"/>
    <n v="1"/>
    <s v="0014-1"/>
    <x v="13"/>
    <s v="Prestari servicii cf. contract. …"/>
    <x v="4"/>
    <n v="0.24"/>
    <s v="buc"/>
    <n v="1"/>
    <n v="888"/>
    <n v="888"/>
    <n v="213.12"/>
    <d v="2015-01-01T00:00:00"/>
    <x v="10"/>
    <x v="1"/>
  </r>
  <r>
    <s v="0015"/>
    <n v="1"/>
    <s v="0015-1"/>
    <x v="14"/>
    <s v="Prestari servicii cf. contract. …"/>
    <x v="5"/>
    <n v="0.24"/>
    <s v="buc"/>
    <n v="2"/>
    <n v="10000"/>
    <n v="20000"/>
    <n v="4800"/>
    <d v="2015-02-01T00:00:00"/>
    <x v="10"/>
    <x v="1"/>
  </r>
  <r>
    <s v="0015"/>
    <n v="2"/>
    <s v="0015-2"/>
    <x v="14"/>
    <s v="Prestari servicii cf. contract. …"/>
    <x v="5"/>
    <n v="0.24"/>
    <s v="buc"/>
    <n v="1"/>
    <n v="3000"/>
    <n v="3000"/>
    <n v="720"/>
    <d v="2015-02-01T00:00:00"/>
    <x v="10"/>
    <x v="1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  <r>
    <m/>
    <m/>
    <m/>
    <x v="15"/>
    <m/>
    <x v="12"/>
    <m/>
    <m/>
    <m/>
    <m/>
    <m/>
    <m/>
    <m/>
    <x v="1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3:B10" firstHeaderRow="1" firstDataRow="1" firstDataCol="1" rowPageCount="1" colPageCount="1"/>
  <pivotFields count="17"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 defaultSubtotal="0">
      <items count="3">
        <item x="0"/>
        <item x="1"/>
        <item x="2"/>
      </items>
    </pivotField>
    <pivotField showAll="0" defaultSubtotal="0">
      <items count="3">
        <item x="0"/>
        <item x="1"/>
        <item x="2"/>
      </items>
    </pivotField>
  </pivotFields>
  <rowFields count="2">
    <field x="15"/>
    <field x="13"/>
  </rowFields>
  <rowItems count="7">
    <i>
      <x v="1"/>
    </i>
    <i r="1">
      <x v="7"/>
    </i>
    <i r="1">
      <x v="8"/>
    </i>
    <i r="1">
      <x v="9"/>
    </i>
    <i r="1">
      <x v="10"/>
    </i>
    <i r="1">
      <x v="11"/>
    </i>
    <i t="grand">
      <x/>
    </i>
  </rowItems>
  <colItems count="1">
    <i/>
  </colItems>
  <pageFields count="1">
    <pageField fld="14" item="0" hier="-1"/>
  </pageFields>
  <dataFields count="1">
    <dataField name="Total fara TVA" fld="10" baseField="13" baseItem="2"/>
  </dataFields>
  <formats count="4">
    <format dxfId="15">
      <pivotArea type="all" dataOnly="0" outline="0" fieldPosition="0"/>
    </format>
    <format dxfId="14">
      <pivotArea field="13" type="button" dataOnly="0" labelOnly="1" outline="0" axis="axisRow" fieldPosition="1"/>
    </format>
    <format dxfId="13">
      <pivotArea dataOnly="0" labelOnly="1" fieldPosition="0">
        <references count="1">
          <reference field="13" count="0"/>
        </references>
      </pivotArea>
    </format>
    <format dxfId="12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6">
  <location ref="A3:B11" firstHeaderRow="1" firstDataRow="1" firstDataCol="1" rowPageCount="1" colPageCount="1"/>
  <pivotFields count="17">
    <pivotField showAll="0"/>
    <pivotField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Page" multipleItemSelectionAllowed="1" showAll="0">
      <items count="4">
        <item x="0"/>
        <item x="1"/>
        <item h="1" x="2"/>
        <item t="default"/>
      </items>
    </pivotField>
    <pivotField showAll="0" defaultSubtotal="0"/>
    <pivotField axis="axisRow" showAll="0" defaultSubtotal="0">
      <items count="3">
        <item x="0"/>
        <item x="1"/>
        <item x="2"/>
      </items>
    </pivotField>
  </pivotFields>
  <rowFields count="2">
    <field x="16"/>
    <field x="3"/>
  </rowFields>
  <rowItems count="8">
    <i>
      <x v="1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Items count="1">
    <i/>
  </colItems>
  <pageFields count="1">
    <pageField fld="14" hier="-1"/>
  </pageFields>
  <dataFields count="1">
    <dataField name="Suma fara TVA" fld="10" baseField="3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3" type="button" dataOnly="0" labelOnly="1" outline="0" axis="axisRow" fieldPosition="1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6">
  <location ref="A1:B15" firstHeaderRow="1" firstDataRow="1" firstDataCol="1"/>
  <pivotFields count="17">
    <pivotField showAll="0"/>
    <pivotField showAll="0"/>
    <pivotField showAll="0"/>
    <pivotField showAll="0"/>
    <pivotField showAll="0"/>
    <pivotField axis="axisRow" showAll="0" sortType="descending">
      <items count="14">
        <item x="0"/>
        <item x="9"/>
        <item x="10"/>
        <item x="11"/>
        <item x="1"/>
        <item x="2"/>
        <item x="3"/>
        <item x="4"/>
        <item x="5"/>
        <item x="6"/>
        <item x="7"/>
        <item x="8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 defaultSubtotal="0"/>
    <pivotField showAll="0" defaultSubtotal="0"/>
  </pivotFields>
  <rowFields count="1">
    <field x="5"/>
  </rowFields>
  <rowItems count="14">
    <i>
      <x v="8"/>
    </i>
    <i>
      <x v="2"/>
    </i>
    <i>
      <x v="1"/>
    </i>
    <i>
      <x v="7"/>
    </i>
    <i>
      <x v="10"/>
    </i>
    <i>
      <x v="9"/>
    </i>
    <i>
      <x v="5"/>
    </i>
    <i>
      <x v="3"/>
    </i>
    <i>
      <x v="6"/>
    </i>
    <i>
      <x v="4"/>
    </i>
    <i>
      <x v="11"/>
    </i>
    <i>
      <x/>
    </i>
    <i>
      <x v="12"/>
    </i>
    <i t="grand">
      <x/>
    </i>
  </rowItems>
  <colItems count="1">
    <i/>
  </colItems>
  <dataFields count="1">
    <dataField name="Valoare fara TVA" fld="10" baseField="5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5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Row="1" outline="0" fieldPosition="0"/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5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O17" totalsRowShown="0" headerRowDxfId="40" dataDxfId="39">
  <autoFilter ref="A1:O17"/>
  <tableColumns count="15">
    <tableColumn id="2" name="Nr." dataDxfId="38"/>
    <tableColumn id="12" name="Nr _x000a_CRT" dataDxfId="37"/>
    <tableColumn id="13" name="ID" dataDxfId="36">
      <calculatedColumnFormula>CONCATENATE(Table1[[#This Row],[Nr.]],"-",Table1[[#This Row],[Nr 
CRT]])</calculatedColumnFormula>
    </tableColumn>
    <tableColumn id="3" name="Data _x000a_emiterii" dataDxfId="35"/>
    <tableColumn id="4" name="Descriere" dataDxfId="34"/>
    <tableColumn id="11" name="Emisa catre" dataDxfId="33"/>
    <tableColumn id="14" name="Cota _x000a_TVA" dataDxfId="32" dataCellStyle="Percent"/>
    <tableColumn id="1" name="UM" dataDxfId="31"/>
    <tableColumn id="5" name="Cantitatea" dataDxfId="30"/>
    <tableColumn id="6" name="Pret unitar" dataDxfId="29"/>
    <tableColumn id="7" name="Valoare" dataDxfId="28">
      <calculatedColumnFormula>Table1[[#This Row],[Cantitatea]]*Table1[[#This Row],[Pret unitar]]</calculatedColumnFormula>
    </tableColumn>
    <tableColumn id="8" name="TVA" dataDxfId="27">
      <calculatedColumnFormula>Table1[[#This Row],[Valoare]]*Table1[[#This Row],[Cota 
TVA]]</calculatedColumnFormula>
    </tableColumn>
    <tableColumn id="15" name="Termen de plata" dataDxfId="26"/>
    <tableColumn id="10" name="Data _x000a_incasarii" dataDxfId="25"/>
    <tableColumn id="16" name="Status" dataDxfId="24">
      <calculatedColumnFormula>IF(Table1[[#This Row],[Data 
incasarii]]=0,"Neachitat","Achitat")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13" totalsRowShown="0" headerRowDxfId="23" dataDxfId="22">
  <autoFilter ref="A1:F13"/>
  <tableColumns count="6">
    <tableColumn id="1" name="Nume firma" dataDxfId="21"/>
    <tableColumn id="2" name="CUI" dataDxfId="20"/>
    <tableColumn id="6" name="Nr ORC" dataDxfId="19"/>
    <tableColumn id="3" name="Adresa" dataDxfId="18"/>
    <tableColumn id="4" name="IBAN" dataDxfId="17"/>
    <tableColumn id="5" name="Banca" dataDxfId="1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ininguri.ro/curs-excel-timisoara/" TargetMode="External"/><Relationship Id="rId4" Type="http://schemas.openxmlformats.org/officeDocument/2006/relationships/hyperlink" Target="https://www.traininguri.ro/curs-excel-cluj/" TargetMode="External"/><Relationship Id="rId5" Type="http://schemas.openxmlformats.org/officeDocument/2006/relationships/hyperlink" Target="https://www.traininguri.ro/cursuri-excel-in-companii/" TargetMode="External"/><Relationship Id="rId6" Type="http://schemas.openxmlformats.org/officeDocument/2006/relationships/hyperlink" Target="https://www.traininguri.ro/agenda-cursuri/" TargetMode="External"/><Relationship Id="rId7" Type="http://schemas.openxmlformats.org/officeDocument/2006/relationships/hyperlink" Target="https://www.traininguri.ro/curs-excel/" TargetMode="External"/><Relationship Id="rId8" Type="http://schemas.openxmlformats.org/officeDocument/2006/relationships/hyperlink" Target="https://www.traininguri.ro/model-factura-excel/" TargetMode="External"/><Relationship Id="rId1" Type="http://schemas.openxmlformats.org/officeDocument/2006/relationships/hyperlink" Target="http://www.traininguri.ro/agend&#259;-cursuri" TargetMode="External"/><Relationship Id="rId2" Type="http://schemas.openxmlformats.org/officeDocument/2006/relationships/hyperlink" Target="https://www.traininguri.ro/radu-pop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rinterSettings" Target="../printerSettings/printerSettings5.bin"/><Relationship Id="rId3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67"/>
  <sheetViews>
    <sheetView showGridLines="0" workbookViewId="0">
      <selection activeCell="C22" sqref="C22"/>
    </sheetView>
  </sheetViews>
  <sheetFormatPr baseColWidth="10" defaultColWidth="17.1640625" defaultRowHeight="12.75" customHeight="1" x14ac:dyDescent="0.2"/>
  <cols>
    <col min="1" max="1" width="5.6640625" style="68" customWidth="1"/>
    <col min="2" max="2" width="2.6640625" style="1" customWidth="1"/>
    <col min="3" max="3" width="11.5" style="1" customWidth="1"/>
    <col min="4" max="4" width="30.1640625" style="1" customWidth="1"/>
    <col min="5" max="5" width="4.5" style="1" bestFit="1" customWidth="1"/>
    <col min="6" max="6" width="9.1640625" style="1" bestFit="1" customWidth="1"/>
    <col min="7" max="9" width="13.6640625" style="1" customWidth="1"/>
    <col min="10" max="10" width="2.6640625" style="1" customWidth="1"/>
    <col min="11" max="11" width="2.6640625" style="68" customWidth="1"/>
    <col min="12" max="13" width="10.83203125" style="68" customWidth="1"/>
    <col min="14" max="20" width="17.1640625" style="68"/>
    <col min="21" max="16384" width="17.1640625" style="1"/>
  </cols>
  <sheetData>
    <row r="1" spans="1:20" ht="14" x14ac:dyDescent="0.2">
      <c r="C1" s="2"/>
      <c r="D1" s="3"/>
      <c r="E1" s="3"/>
      <c r="F1" s="3"/>
      <c r="G1" s="3"/>
      <c r="H1" s="3"/>
      <c r="I1" s="3"/>
    </row>
    <row r="2" spans="1:20" ht="31" x14ac:dyDescent="0.2">
      <c r="C2" s="65"/>
      <c r="D2" s="65"/>
      <c r="E2" s="65"/>
      <c r="F2" s="64"/>
      <c r="G2" s="65"/>
      <c r="H2" s="112" t="s">
        <v>3</v>
      </c>
      <c r="I2" s="112"/>
    </row>
    <row r="3" spans="1:20" ht="14" x14ac:dyDescent="0.2">
      <c r="C3" s="63"/>
      <c r="D3" s="63"/>
      <c r="E3" s="63"/>
      <c r="F3" s="62"/>
      <c r="G3" s="116" t="str">
        <f>CONCATENATE("Seria ",M4," Numarul ",M3)</f>
        <v>Seria ZZZ Numarul 0016</v>
      </c>
      <c r="H3" s="116"/>
      <c r="I3" s="116"/>
      <c r="L3" s="51" t="s">
        <v>0</v>
      </c>
      <c r="M3" s="70" t="s">
        <v>125</v>
      </c>
    </row>
    <row r="4" spans="1:20" ht="14" x14ac:dyDescent="0.2">
      <c r="C4" s="63"/>
      <c r="D4" s="63"/>
      <c r="E4" s="63"/>
      <c r="F4" s="62"/>
      <c r="G4" s="117" t="str">
        <f>CONCATENATE("Data (AAAA-LL-ZZ) ",TEXT(VLOOKUP(M3,Facturi!A:D,4,0),"YYYY-MM-DD"))</f>
        <v>Data (AAAA-LL-ZZ) 2014-12-20</v>
      </c>
      <c r="H4" s="117"/>
      <c r="I4" s="117"/>
      <c r="L4" s="61" t="s">
        <v>45</v>
      </c>
      <c r="M4" s="71" t="s">
        <v>118</v>
      </c>
    </row>
    <row r="5" spans="1:20" ht="14" x14ac:dyDescent="0.2">
      <c r="C5" s="65"/>
      <c r="D5" s="65"/>
      <c r="E5" s="65"/>
      <c r="F5" s="64"/>
      <c r="G5" s="65"/>
      <c r="H5" s="64"/>
      <c r="I5" s="66" t="str">
        <f>CONCATENATE("Cota TVA ",VLOOKUP(M3,Facturi!A:I,7,0)*100,"%")</f>
        <v>Cota TVA 19%</v>
      </c>
    </row>
    <row r="6" spans="1:20" s="19" customFormat="1" ht="14" x14ac:dyDescent="0.2">
      <c r="A6" s="69"/>
      <c r="C6" s="102"/>
      <c r="D6" s="102"/>
      <c r="E6" s="102"/>
      <c r="F6" s="102"/>
      <c r="G6" s="102"/>
      <c r="H6" s="102"/>
      <c r="I6" s="102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ht="12.75" customHeight="1" x14ac:dyDescent="0.2">
      <c r="C7" s="113" t="s">
        <v>2</v>
      </c>
      <c r="D7" s="114"/>
      <c r="E7" s="115"/>
      <c r="F7" s="67"/>
      <c r="G7" s="118" t="s">
        <v>79</v>
      </c>
      <c r="H7" s="119"/>
      <c r="I7" s="120"/>
    </row>
    <row r="8" spans="1:20" ht="12.75" customHeight="1" x14ac:dyDescent="0.2">
      <c r="C8" s="101" t="s">
        <v>113</v>
      </c>
      <c r="D8" s="101"/>
      <c r="E8" s="101"/>
      <c r="F8" s="67"/>
      <c r="G8" s="102" t="str">
        <f>VLOOKUP(M3,Facturi!A:F,6,0)</f>
        <v>SC CLIENT 6</v>
      </c>
      <c r="H8" s="102"/>
      <c r="I8" s="102"/>
    </row>
    <row r="9" spans="1:20" ht="12.75" customHeight="1" x14ac:dyDescent="0.2">
      <c r="C9" s="101" t="s">
        <v>114</v>
      </c>
      <c r="D9" s="101"/>
      <c r="E9" s="101"/>
      <c r="F9" s="67"/>
      <c r="G9" s="101" t="str">
        <f>CONCATENATE("Reg. Com.: ",VLOOKUP(G8,Clienti!A:C,3,0))</f>
        <v>Reg. Com.: J05/XXX/XXXX</v>
      </c>
      <c r="H9" s="101"/>
      <c r="I9" s="101"/>
    </row>
    <row r="10" spans="1:20" ht="12.75" customHeight="1" x14ac:dyDescent="0.2">
      <c r="C10" s="101" t="s">
        <v>115</v>
      </c>
      <c r="D10" s="101"/>
      <c r="E10" s="101"/>
      <c r="F10" s="67"/>
      <c r="G10" s="101" t="str">
        <f>CONCATENATE("CIF: ",VLOOKUP(G8,Clienti!A:F,2,0))</f>
        <v>CIF: RO XXXXXXXX</v>
      </c>
      <c r="H10" s="101"/>
      <c r="I10" s="101"/>
    </row>
    <row r="11" spans="1:20" ht="12.75" customHeight="1" x14ac:dyDescent="0.2">
      <c r="C11" s="100" t="s">
        <v>116</v>
      </c>
      <c r="D11" s="100"/>
      <c r="E11" s="100"/>
      <c r="F11" s="67"/>
      <c r="G11" s="103" t="str">
        <f>CONCATENATE("Adresa: ",VLOOKUP(G8,Clienti!A:F,4,0))</f>
        <v>Adresa: Adresa …</v>
      </c>
      <c r="H11" s="103"/>
      <c r="I11" s="103"/>
    </row>
    <row r="12" spans="1:20" ht="12.75" customHeight="1" x14ac:dyDescent="0.2">
      <c r="C12" s="100"/>
      <c r="D12" s="100"/>
      <c r="E12" s="100"/>
      <c r="F12" s="67"/>
      <c r="G12" s="103"/>
      <c r="H12" s="103"/>
      <c r="I12" s="103"/>
    </row>
    <row r="13" spans="1:20" ht="12.75" customHeight="1" x14ac:dyDescent="0.2">
      <c r="C13" s="101" t="s">
        <v>117</v>
      </c>
      <c r="D13" s="101"/>
      <c r="E13" s="101"/>
      <c r="F13" s="67"/>
      <c r="G13" s="101" t="str">
        <f>VLOOKUP(G8,Clienti!A:F,5,0)</f>
        <v>XXXX XXXX XXXX XXXX XXXX XXXX</v>
      </c>
      <c r="H13" s="101"/>
      <c r="I13" s="101"/>
    </row>
    <row r="14" spans="1:20" ht="12.75" customHeight="1" x14ac:dyDescent="0.2">
      <c r="C14" s="101" t="s">
        <v>54</v>
      </c>
      <c r="D14" s="101"/>
      <c r="E14" s="101"/>
      <c r="F14" s="67"/>
      <c r="G14" s="102" t="str">
        <f>VLOOKUP(G8,Clienti!A:F,6,0)</f>
        <v>Banca …</v>
      </c>
      <c r="H14" s="102"/>
      <c r="I14" s="102"/>
    </row>
    <row r="15" spans="1:20" s="19" customFormat="1" ht="14" x14ac:dyDescent="0.2">
      <c r="A15" s="69"/>
      <c r="C15" s="105"/>
      <c r="D15" s="105"/>
      <c r="E15" s="105"/>
      <c r="F15" s="105"/>
      <c r="G15" s="105"/>
      <c r="H15" s="105"/>
      <c r="I15" s="105"/>
      <c r="K15" s="69"/>
      <c r="L15" s="68"/>
      <c r="M15" s="69"/>
      <c r="N15" s="69"/>
      <c r="O15" s="69"/>
      <c r="P15" s="69"/>
      <c r="Q15" s="69"/>
      <c r="R15" s="69"/>
      <c r="S15" s="69"/>
      <c r="T15" s="69"/>
    </row>
    <row r="16" spans="1:20" ht="14" x14ac:dyDescent="0.2">
      <c r="C16" s="104" t="s">
        <v>4</v>
      </c>
      <c r="D16" s="104" t="s">
        <v>5</v>
      </c>
      <c r="E16" s="104" t="s">
        <v>6</v>
      </c>
      <c r="F16" s="104" t="s">
        <v>7</v>
      </c>
      <c r="G16" s="59" t="s">
        <v>8</v>
      </c>
      <c r="H16" s="59" t="s">
        <v>9</v>
      </c>
      <c r="I16" s="59" t="s">
        <v>9</v>
      </c>
    </row>
    <row r="17" spans="1:20" ht="14" x14ac:dyDescent="0.2">
      <c r="C17" s="104"/>
      <c r="D17" s="104"/>
      <c r="E17" s="104"/>
      <c r="F17" s="104"/>
      <c r="G17" s="59" t="s">
        <v>10</v>
      </c>
      <c r="H17" s="59" t="s">
        <v>11</v>
      </c>
      <c r="I17" s="59" t="s">
        <v>12</v>
      </c>
    </row>
    <row r="18" spans="1:20" ht="14" x14ac:dyDescent="0.2">
      <c r="C18" s="27">
        <v>0</v>
      </c>
      <c r="D18" s="18">
        <v>1</v>
      </c>
      <c r="E18" s="28">
        <v>2</v>
      </c>
      <c r="F18" s="18">
        <v>3</v>
      </c>
      <c r="G18" s="28">
        <v>4</v>
      </c>
      <c r="H18" s="54" t="s">
        <v>13</v>
      </c>
      <c r="I18" s="29">
        <v>6</v>
      </c>
    </row>
    <row r="19" spans="1:20" ht="25.5" customHeight="1" x14ac:dyDescent="0.2">
      <c r="C19" s="30">
        <f>IFERROR(IF(VLOOKUP(CONCATENATE(M3,"-","1"),Facturi!C:E,1,0)&lt;&gt;0,1)," ")</f>
        <v>1</v>
      </c>
      <c r="D19" s="26" t="str">
        <f>IFERROR(VLOOKUP(CONCATENATE($M$3,"-",$C19),Facturi!$C:$N,3,0)," ")</f>
        <v>Prestari servicii cf. contract. …</v>
      </c>
      <c r="E19" s="32" t="str">
        <f>IFERROR(VLOOKUP(CONCATENATE($M$3,"-",$C19),Facturi!$C:$N,6,0)," ")</f>
        <v>buc</v>
      </c>
      <c r="F19" s="57">
        <f>IFERROR(VLOOKUP(CONCATENATE($M$3,"-",$C19),Facturi!$C:$N,7,0)," ")</f>
        <v>1</v>
      </c>
      <c r="G19" s="5">
        <f>IFERROR(VLOOKUP(CONCATENATE($M$3,"-",$C19),Facturi!$C:$N,8,0)," ")</f>
        <v>3000</v>
      </c>
      <c r="H19" s="26">
        <f>IFERROR(VLOOKUP(CONCATENATE($M$3,"-",$C19),Facturi!$C:$N,9,0)," ")</f>
        <v>3000</v>
      </c>
      <c r="I19" s="31">
        <f>IFERROR(VLOOKUP(CONCATENATE($M$3,"-",$C19),Facturi!$C:$N,10,0)," ")</f>
        <v>570</v>
      </c>
    </row>
    <row r="20" spans="1:20" ht="25.5" customHeight="1" x14ac:dyDescent="0.2">
      <c r="C20" s="30" t="str">
        <f>IFERROR(IF(VLOOKUP(CONCATENATE(M3,"-","2"),Facturi!C:E,1,0)&lt;&gt;0,2)," ")</f>
        <v xml:space="preserve"> </v>
      </c>
      <c r="D20" s="26" t="str">
        <f>IFERROR(VLOOKUP(CONCATENATE($M$3,"-",$C20),Facturi!$C:$N,3,0)," ")</f>
        <v xml:space="preserve"> </v>
      </c>
      <c r="E20" s="32" t="str">
        <f>IFERROR(VLOOKUP(CONCATENATE($M$3,"-",$C20),Facturi!$C:$N,6,0)," ")</f>
        <v xml:space="preserve"> </v>
      </c>
      <c r="F20" s="57" t="str">
        <f>IFERROR(VLOOKUP(CONCATENATE($M$3,"-",$C20),Facturi!$C:$N,7,0)," ")</f>
        <v xml:space="preserve"> </v>
      </c>
      <c r="G20" s="81" t="str">
        <f>IFERROR(VLOOKUP(CONCATENATE($M$3,"-",$C20),Facturi!$C:$N,8,0)," ")</f>
        <v xml:space="preserve"> </v>
      </c>
      <c r="H20" s="26" t="str">
        <f>IFERROR(VLOOKUP(CONCATENATE($M$3,"-",$C20),Facturi!$C:$N,9,0)," ")</f>
        <v xml:space="preserve"> </v>
      </c>
      <c r="I20" s="31" t="str">
        <f>IFERROR(VLOOKUP(CONCATENATE($M$3,"-",$C20),Facturi!$C:$N,10,0)," ")</f>
        <v xml:space="preserve"> </v>
      </c>
    </row>
    <row r="21" spans="1:20" ht="25.5" customHeight="1" x14ac:dyDescent="0.2">
      <c r="C21" s="30" t="str">
        <f>IFERROR(IF(VLOOKUP(CONCATENATE(M3,"-","3"),Facturi!C:E,1,0)&lt;&gt;0,3," ")," ")</f>
        <v xml:space="preserve"> </v>
      </c>
      <c r="D21" s="26" t="str">
        <f>IFERROR(VLOOKUP(CONCATENATE($M$3,"-",$C21),Facturi!$C:$N,3,0)," ")</f>
        <v xml:space="preserve"> </v>
      </c>
      <c r="E21" s="32" t="str">
        <f>IFERROR(VLOOKUP(CONCATENATE($M$3,"-",$C21),Facturi!$C:$N,6,0)," ")</f>
        <v xml:space="preserve"> </v>
      </c>
      <c r="F21" s="57" t="str">
        <f>IFERROR(VLOOKUP(CONCATENATE($M$3,"-",$C21),Facturi!$C:$N,7,0)," ")</f>
        <v xml:space="preserve"> </v>
      </c>
      <c r="G21" s="81" t="str">
        <f>IFERROR(VLOOKUP(CONCATENATE($M$3,"-",$C21),Facturi!$C:$N,8,0)," ")</f>
        <v xml:space="preserve"> </v>
      </c>
      <c r="H21" s="26" t="str">
        <f>IFERROR(VLOOKUP(CONCATENATE($M$3,"-",$C21),Facturi!$C:$N,9,0)," ")</f>
        <v xml:space="preserve"> </v>
      </c>
      <c r="I21" s="31" t="str">
        <f>IFERROR(VLOOKUP(CONCATENATE($M$3,"-",$C21),Facturi!$C:$N,10,0)," ")</f>
        <v xml:space="preserve"> </v>
      </c>
    </row>
    <row r="22" spans="1:20" ht="25.5" customHeight="1" x14ac:dyDescent="0.2">
      <c r="C22" s="30" t="str">
        <f>IFERROR(IF(VLOOKUP(CONCATENATE(M3,"-","4"),Facturi!C:E,1,0)&lt;&gt;0,4," ")," ")</f>
        <v xml:space="preserve"> </v>
      </c>
      <c r="D22" s="26" t="str">
        <f>IFERROR(VLOOKUP(CONCATENATE($M$3,"-",$C22),Facturi!$C:$N,3,0)," ")</f>
        <v xml:space="preserve"> </v>
      </c>
      <c r="E22" s="32" t="str">
        <f>IFERROR(VLOOKUP(CONCATENATE($M$3,"-",$C22),Facturi!$C:$N,6,0)," ")</f>
        <v xml:space="preserve"> </v>
      </c>
      <c r="F22" s="57" t="str">
        <f>IFERROR(VLOOKUP(CONCATENATE($M$3,"-",$C22),Facturi!$C:$N,7,0)," ")</f>
        <v xml:space="preserve"> </v>
      </c>
      <c r="G22" s="81" t="str">
        <f>IFERROR(VLOOKUP(CONCATENATE($M$3,"-",$C22),Facturi!$C:$N,8,0)," ")</f>
        <v xml:space="preserve"> </v>
      </c>
      <c r="H22" s="26" t="str">
        <f>IFERROR(VLOOKUP(CONCATENATE($M$3,"-",$C22),Facturi!$C:$N,9,0)," ")</f>
        <v xml:space="preserve"> </v>
      </c>
      <c r="I22" s="31" t="str">
        <f>IFERROR(VLOOKUP(CONCATENATE($M$3,"-",$C22),Facturi!$C:$N,10,0)," ")</f>
        <v xml:space="preserve"> </v>
      </c>
    </row>
    <row r="23" spans="1:20" ht="25.5" customHeight="1" x14ac:dyDescent="0.2">
      <c r="C23" s="30" t="str">
        <f>IFERROR(IF(VLOOKUP(CONCATENATE(M3,"-","5"),Facturi!C:E,1,0)&lt;&gt;0,5," ")," ")</f>
        <v xml:space="preserve"> </v>
      </c>
      <c r="D23" s="26" t="str">
        <f>IFERROR(VLOOKUP(CONCATENATE($M$3,"-",$C23),Facturi!$C:$N,3,0)," ")</f>
        <v xml:space="preserve"> </v>
      </c>
      <c r="E23" s="32" t="str">
        <f>IFERROR(VLOOKUP(CONCATENATE($M$3,"-",$C23),Facturi!$C:$N,6,0)," ")</f>
        <v xml:space="preserve"> </v>
      </c>
      <c r="F23" s="57" t="str">
        <f>IFERROR(VLOOKUP(CONCATENATE($M$3,"-",$C23),Facturi!$C:$N,7,0)," ")</f>
        <v xml:space="preserve"> </v>
      </c>
      <c r="G23" s="81" t="str">
        <f>IFERROR(VLOOKUP(CONCATENATE($M$3,"-",$C23),Facturi!$C:$N,8,0)," ")</f>
        <v xml:space="preserve"> </v>
      </c>
      <c r="H23" s="26" t="str">
        <f>IFERROR(VLOOKUP(CONCATENATE($M$3,"-",$C23),Facturi!$C:$N,9,0)," ")</f>
        <v xml:space="preserve"> </v>
      </c>
      <c r="I23" s="31" t="str">
        <f>IFERROR(VLOOKUP(CONCATENATE($M$3,"-",$C23),Facturi!$C:$N,10,0)," ")</f>
        <v xml:space="preserve"> </v>
      </c>
    </row>
    <row r="24" spans="1:20" ht="25.5" customHeight="1" x14ac:dyDescent="0.2">
      <c r="C24" s="30" t="str">
        <f>IFERROR(IF(VLOOKUP(CONCATENATE(M3,"-","6"),Facturi!C:E,1,0)&lt;&gt;0,6," ")," ")</f>
        <v xml:space="preserve"> </v>
      </c>
      <c r="D24" s="26" t="str">
        <f>IFERROR(VLOOKUP(CONCATENATE($M$3,"-",$C24),Facturi!$C:$N,3,0)," ")</f>
        <v xml:space="preserve"> </v>
      </c>
      <c r="E24" s="32" t="str">
        <f>IFERROR(VLOOKUP(CONCATENATE($M$3,"-",$C24),Facturi!$C:$N,6,0)," ")</f>
        <v xml:space="preserve"> </v>
      </c>
      <c r="F24" s="57" t="str">
        <f>IFERROR(VLOOKUP(CONCATENATE($M$3,"-",$C24),Facturi!$C:$N,7,0)," ")</f>
        <v xml:space="preserve"> </v>
      </c>
      <c r="G24" s="81" t="str">
        <f>IFERROR(VLOOKUP(CONCATENATE($M$3,"-",$C24),Facturi!$C:$N,8,0)," ")</f>
        <v xml:space="preserve"> </v>
      </c>
      <c r="H24" s="26" t="str">
        <f>IFERROR(VLOOKUP(CONCATENATE($M$3,"-",$C24),Facturi!$C:$N,9,0)," ")</f>
        <v xml:space="preserve"> </v>
      </c>
      <c r="I24" s="31" t="str">
        <f>IFERROR(VLOOKUP(CONCATENATE($M$3,"-",$C24),Facturi!$C:$N,10,0)," ")</f>
        <v xml:space="preserve"> </v>
      </c>
    </row>
    <row r="25" spans="1:20" ht="25.5" customHeight="1" x14ac:dyDescent="0.2">
      <c r="C25" s="30" t="str">
        <f>IFERROR(IF(VLOOKUP(CONCATENATE(M3,"-","7"),Facturi!C:E,1,0)&lt;&gt;0,7," ")," ")</f>
        <v xml:space="preserve"> </v>
      </c>
      <c r="D25" s="26" t="str">
        <f>IFERROR(VLOOKUP(CONCATENATE($M$3,"-",$C25),Facturi!$C:$N,3,0)," ")</f>
        <v xml:space="preserve"> </v>
      </c>
      <c r="E25" s="32" t="str">
        <f>IFERROR(VLOOKUP(CONCATENATE($M$3,"-",$C25),Facturi!$C:$N,6,0)," ")</f>
        <v xml:space="preserve"> </v>
      </c>
      <c r="F25" s="57" t="str">
        <f>IFERROR(VLOOKUP(CONCATENATE($M$3,"-",$C25),Facturi!$C:$N,7,0)," ")</f>
        <v xml:space="preserve"> </v>
      </c>
      <c r="G25" s="81" t="str">
        <f>IFERROR(VLOOKUP(CONCATENATE($M$3,"-",$C25),Facturi!$C:$N,8,0)," ")</f>
        <v xml:space="preserve"> </v>
      </c>
      <c r="H25" s="26" t="str">
        <f>IFERROR(VLOOKUP(CONCATENATE($M$3,"-",$C25),Facturi!$C:$N,9,0)," ")</f>
        <v xml:space="preserve"> </v>
      </c>
      <c r="I25" s="31" t="str">
        <f>IFERROR(VLOOKUP(CONCATENATE($M$3,"-",$C25),Facturi!$C:$N,10,0)," ")</f>
        <v xml:space="preserve"> </v>
      </c>
    </row>
    <row r="26" spans="1:20" ht="25.5" customHeight="1" x14ac:dyDescent="0.2">
      <c r="C26" s="30" t="str">
        <f>IFERROR(IF(VLOOKUP(CONCATENATE(M3,"-","8"),Facturi!C:E,1,0)&lt;&gt;0,8," ")," ")</f>
        <v xml:space="preserve"> </v>
      </c>
      <c r="D26" s="26" t="str">
        <f>IFERROR(VLOOKUP(CONCATENATE($M$3,"-",$C26),Facturi!$C:$N,3,0)," ")</f>
        <v xml:space="preserve"> </v>
      </c>
      <c r="E26" s="32" t="str">
        <f>IFERROR(VLOOKUP(CONCATENATE($M$3,"-",$C26),Facturi!$C:$N,6,0)," ")</f>
        <v xml:space="preserve"> </v>
      </c>
      <c r="F26" s="57" t="str">
        <f>IFERROR(VLOOKUP(CONCATENATE($M$3,"-",$C26),Facturi!$C:$N,7,0)," ")</f>
        <v xml:space="preserve"> </v>
      </c>
      <c r="G26" s="81" t="str">
        <f>IFERROR(VLOOKUP(CONCATENATE($M$3,"-",$C26),Facturi!$C:$N,8,0)," ")</f>
        <v xml:space="preserve"> </v>
      </c>
      <c r="H26" s="26" t="str">
        <f>IFERROR(VLOOKUP(CONCATENATE($M$3,"-",$C26),Facturi!$C:$N,9,0)," ")</f>
        <v xml:space="preserve"> </v>
      </c>
      <c r="I26" s="31" t="str">
        <f>IFERROR(VLOOKUP(CONCATENATE($M$3,"-",$C26),Facturi!$C:$N,10,0)," ")</f>
        <v xml:space="preserve"> </v>
      </c>
    </row>
    <row r="27" spans="1:20" ht="25.5" customHeight="1" x14ac:dyDescent="0.2">
      <c r="C27" s="30" t="str">
        <f>IFERROR(IF(VLOOKUP(CONCATENATE(M3,"-","9"),Facturi!C:E,1,0)&lt;&gt;0,9," ")," ")</f>
        <v xml:space="preserve"> </v>
      </c>
      <c r="D27" s="26" t="str">
        <f>IFERROR(VLOOKUP(CONCATENATE($M$3,"-",$C27),Facturi!$C:$N,3,0)," ")</f>
        <v xml:space="preserve"> </v>
      </c>
      <c r="E27" s="32" t="str">
        <f>IFERROR(VLOOKUP(CONCATENATE($M$3,"-",$C27),Facturi!$C:$N,6,0)," ")</f>
        <v xml:space="preserve"> </v>
      </c>
      <c r="F27" s="57" t="str">
        <f>IFERROR(VLOOKUP(CONCATENATE($M$3,"-",$C27),Facturi!$C:$N,7,0)," ")</f>
        <v xml:space="preserve"> </v>
      </c>
      <c r="G27" s="81" t="str">
        <f>IFERROR(VLOOKUP(CONCATENATE($M$3,"-",$C27),Facturi!$C:$N,8,0)," ")</f>
        <v xml:space="preserve"> </v>
      </c>
      <c r="H27" s="26" t="str">
        <f>IFERROR(VLOOKUP(CONCATENATE($M$3,"-",$C27),Facturi!$C:$N,9,0)," ")</f>
        <v xml:space="preserve"> </v>
      </c>
      <c r="I27" s="31" t="str">
        <f>IFERROR(VLOOKUP(CONCATENATE($M$3,"-",$C27),Facturi!$C:$N,10,0)," ")</f>
        <v xml:space="preserve"> </v>
      </c>
    </row>
    <row r="28" spans="1:20" ht="25.5" customHeight="1" x14ac:dyDescent="0.2">
      <c r="C28" s="58" t="str">
        <f>IFERROR(IF(VLOOKUP(CONCATENATE(M3,"-","10"),Facturi!C:E,1,0)&lt;&gt;0,10," ")," ")</f>
        <v xml:space="preserve"> </v>
      </c>
      <c r="D28" s="26" t="str">
        <f>IFERROR(VLOOKUP(CONCATENATE($M$3,"-",$C28),Facturi!$C:$N,3,0)," ")</f>
        <v xml:space="preserve"> </v>
      </c>
      <c r="E28" s="32" t="str">
        <f>IFERROR(VLOOKUP(CONCATENATE($M$3,"-",$C28),Facturi!$C:$N,6,0)," ")</f>
        <v xml:space="preserve"> </v>
      </c>
      <c r="F28" s="57" t="str">
        <f>IFERROR(VLOOKUP(CONCATENATE($M$3,"-",$C28),Facturi!$C:$N,7,0)," ")</f>
        <v xml:space="preserve"> </v>
      </c>
      <c r="G28" s="81" t="str">
        <f>IFERROR(VLOOKUP(CONCATENATE($M$3,"-",$C28),Facturi!$C:$N,8,0)," ")</f>
        <v xml:space="preserve"> </v>
      </c>
      <c r="H28" s="26" t="str">
        <f>IFERROR(VLOOKUP(CONCATENATE($M$3,"-",$C28),Facturi!$C:$N,9,0)," ")</f>
        <v xml:space="preserve"> </v>
      </c>
      <c r="I28" s="31" t="str">
        <f>IFERROR(VLOOKUP(CONCATENATE($M$3,"-",$C28),Facturi!$C:$N,10,0)," ")</f>
        <v xml:space="preserve"> </v>
      </c>
    </row>
    <row r="29" spans="1:20" ht="12.75" customHeight="1" x14ac:dyDescent="0.2">
      <c r="C29" s="122" t="s">
        <v>81</v>
      </c>
      <c r="D29" s="123"/>
      <c r="E29" s="123"/>
      <c r="F29" s="123"/>
      <c r="G29" s="123"/>
      <c r="H29" s="123"/>
      <c r="I29" s="74">
        <f>IF(VLOOKUP(M3,Facturi!A:M,13,0)=0," ",VLOOKUP(M3,Facturi!A:M,13,0))</f>
        <v>42036</v>
      </c>
    </row>
    <row r="30" spans="1:20" s="73" customFormat="1" ht="40" customHeight="1" x14ac:dyDescent="0.15">
      <c r="A30" s="72"/>
      <c r="C30" s="106" t="s">
        <v>105</v>
      </c>
      <c r="D30" s="107"/>
      <c r="E30" s="107"/>
      <c r="F30" s="108"/>
      <c r="G30" s="60" t="s">
        <v>122</v>
      </c>
      <c r="H30" s="94">
        <f>SUM(H19:H28)</f>
        <v>3000</v>
      </c>
      <c r="I30" s="94">
        <f>SUM(I19:I28)</f>
        <v>570</v>
      </c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s="73" customFormat="1" ht="40" customHeight="1" x14ac:dyDescent="0.15">
      <c r="A31" s="72"/>
      <c r="C31" s="106" t="s">
        <v>106</v>
      </c>
      <c r="D31" s="107"/>
      <c r="E31" s="107"/>
      <c r="F31" s="108"/>
      <c r="G31" s="60" t="s">
        <v>121</v>
      </c>
      <c r="H31" s="121">
        <f>H30+I30</f>
        <v>3570</v>
      </c>
      <c r="I31" s="121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1:20" ht="57" customHeight="1" x14ac:dyDescent="0.2">
      <c r="C32" s="109" t="s">
        <v>82</v>
      </c>
      <c r="D32" s="110"/>
      <c r="E32" s="110"/>
      <c r="F32" s="111"/>
      <c r="G32" s="109" t="s">
        <v>77</v>
      </c>
      <c r="H32" s="110"/>
      <c r="I32" s="111"/>
    </row>
    <row r="33" spans="2:10" ht="12.75" customHeight="1" x14ac:dyDescent="0.2">
      <c r="C33" s="98" t="str">
        <f>C8</f>
        <v>SC FIRMA MEA SRL</v>
      </c>
      <c r="D33" s="98"/>
      <c r="E33" s="98"/>
      <c r="F33" s="98"/>
      <c r="G33" s="99" t="s">
        <v>83</v>
      </c>
      <c r="H33" s="99"/>
      <c r="I33" s="99"/>
    </row>
    <row r="35" spans="2:10" ht="12.75" customHeight="1" x14ac:dyDescent="0.2">
      <c r="B35" s="68"/>
      <c r="C35" s="68"/>
      <c r="D35" s="68"/>
      <c r="E35" s="68"/>
      <c r="F35" s="68"/>
      <c r="G35" s="68"/>
      <c r="H35" s="68"/>
      <c r="I35" s="68"/>
      <c r="J35" s="68"/>
    </row>
    <row r="36" spans="2:10" ht="12.75" customHeight="1" x14ac:dyDescent="0.2">
      <c r="B36" s="68"/>
      <c r="C36" s="68"/>
      <c r="D36" s="68"/>
      <c r="E36" s="68"/>
      <c r="F36" s="68"/>
      <c r="G36" s="68"/>
      <c r="H36" s="68"/>
      <c r="I36" s="68"/>
      <c r="J36" s="68"/>
    </row>
    <row r="37" spans="2:10" ht="12.75" customHeight="1" x14ac:dyDescent="0.2">
      <c r="B37" s="68"/>
      <c r="C37" s="68"/>
      <c r="D37" s="68"/>
      <c r="E37" s="68"/>
      <c r="F37" s="68"/>
      <c r="G37" s="68"/>
      <c r="H37" s="68"/>
      <c r="I37" s="68"/>
      <c r="J37" s="68"/>
    </row>
    <row r="38" spans="2:10" ht="12.75" customHeight="1" x14ac:dyDescent="0.2">
      <c r="B38" s="68"/>
      <c r="C38" s="68"/>
      <c r="D38" s="68"/>
      <c r="E38" s="68"/>
      <c r="F38" s="68"/>
      <c r="G38" s="68"/>
      <c r="H38" s="68"/>
      <c r="I38" s="68"/>
      <c r="J38" s="68"/>
    </row>
    <row r="39" spans="2:10" ht="12.75" customHeight="1" x14ac:dyDescent="0.2">
      <c r="B39" s="68"/>
      <c r="C39" s="68"/>
      <c r="D39" s="68"/>
      <c r="E39" s="68"/>
      <c r="F39" s="68"/>
      <c r="G39" s="68"/>
      <c r="H39" s="68"/>
      <c r="I39" s="68"/>
      <c r="J39" s="68"/>
    </row>
    <row r="40" spans="2:10" ht="12.75" customHeight="1" x14ac:dyDescent="0.2">
      <c r="B40" s="68"/>
      <c r="C40" s="68"/>
      <c r="D40" s="68"/>
      <c r="E40" s="68"/>
      <c r="F40" s="68"/>
      <c r="G40" s="68"/>
      <c r="H40" s="68"/>
      <c r="I40" s="68"/>
      <c r="J40" s="68"/>
    </row>
    <row r="41" spans="2:10" ht="12.75" customHeight="1" x14ac:dyDescent="0.2">
      <c r="B41" s="68"/>
      <c r="C41" s="68"/>
      <c r="D41" s="68"/>
      <c r="E41" s="68"/>
      <c r="F41" s="68"/>
      <c r="G41" s="68"/>
      <c r="H41" s="68"/>
      <c r="I41" s="68"/>
      <c r="J41" s="68"/>
    </row>
    <row r="42" spans="2:10" ht="12.75" customHeight="1" x14ac:dyDescent="0.2">
      <c r="B42" s="68"/>
      <c r="C42" s="68"/>
      <c r="D42" s="68"/>
      <c r="E42" s="68"/>
      <c r="F42" s="68"/>
      <c r="G42" s="68"/>
      <c r="H42" s="68"/>
      <c r="I42" s="68"/>
      <c r="J42" s="68"/>
    </row>
    <row r="43" spans="2:10" ht="12.75" customHeight="1" x14ac:dyDescent="0.2">
      <c r="B43" s="68"/>
      <c r="C43" s="68"/>
      <c r="D43" s="68"/>
      <c r="E43" s="68"/>
      <c r="F43" s="68"/>
      <c r="G43" s="68"/>
      <c r="H43" s="68"/>
      <c r="I43" s="68"/>
      <c r="J43" s="68"/>
    </row>
    <row r="44" spans="2:10" ht="12.75" customHeight="1" x14ac:dyDescent="0.2">
      <c r="B44" s="68"/>
      <c r="C44" s="68"/>
      <c r="D44" s="68"/>
      <c r="E44" s="68"/>
      <c r="F44" s="68"/>
      <c r="G44" s="68"/>
      <c r="H44" s="68"/>
      <c r="I44" s="68"/>
      <c r="J44" s="68"/>
    </row>
    <row r="45" spans="2:10" ht="12.75" customHeight="1" x14ac:dyDescent="0.2">
      <c r="B45" s="68"/>
      <c r="C45" s="68"/>
      <c r="D45" s="68"/>
      <c r="E45" s="68"/>
      <c r="F45" s="68"/>
      <c r="G45" s="68"/>
      <c r="H45" s="68"/>
      <c r="I45" s="68"/>
      <c r="J45" s="68"/>
    </row>
    <row r="46" spans="2:10" ht="12.75" customHeight="1" x14ac:dyDescent="0.2">
      <c r="B46" s="68"/>
      <c r="C46" s="68"/>
      <c r="D46" s="68"/>
      <c r="E46" s="68"/>
      <c r="F46" s="68"/>
      <c r="G46" s="68"/>
      <c r="H46" s="68"/>
      <c r="I46" s="68"/>
      <c r="J46" s="68"/>
    </row>
    <row r="47" spans="2:10" ht="12.75" customHeight="1" x14ac:dyDescent="0.2">
      <c r="B47" s="68"/>
      <c r="C47" s="68"/>
      <c r="D47" s="68"/>
      <c r="E47" s="68"/>
      <c r="F47" s="68"/>
      <c r="G47" s="68"/>
      <c r="H47" s="68"/>
      <c r="I47" s="68"/>
      <c r="J47" s="68"/>
    </row>
    <row r="48" spans="2:10" ht="12.75" customHeight="1" x14ac:dyDescent="0.2">
      <c r="B48" s="68"/>
      <c r="C48" s="68"/>
      <c r="D48" s="68"/>
      <c r="E48" s="68"/>
      <c r="F48" s="68"/>
      <c r="G48" s="68"/>
      <c r="H48" s="68"/>
      <c r="I48" s="68"/>
      <c r="J48" s="68"/>
    </row>
    <row r="49" spans="2:10" ht="12.75" customHeight="1" x14ac:dyDescent="0.2">
      <c r="B49" s="68"/>
      <c r="C49" s="68"/>
      <c r="D49" s="68"/>
      <c r="E49" s="68"/>
      <c r="F49" s="68"/>
      <c r="G49" s="68"/>
      <c r="H49" s="68"/>
      <c r="I49" s="68"/>
      <c r="J49" s="68"/>
    </row>
    <row r="50" spans="2:10" ht="12.75" customHeight="1" x14ac:dyDescent="0.2">
      <c r="B50" s="68"/>
      <c r="C50" s="68"/>
      <c r="D50" s="68"/>
      <c r="E50" s="68"/>
      <c r="F50" s="68"/>
      <c r="G50" s="68"/>
      <c r="H50" s="68"/>
      <c r="I50" s="68"/>
      <c r="J50" s="68"/>
    </row>
    <row r="51" spans="2:10" ht="12.75" customHeight="1" x14ac:dyDescent="0.2">
      <c r="B51" s="68"/>
      <c r="C51" s="68"/>
      <c r="D51" s="68"/>
      <c r="E51" s="68"/>
      <c r="F51" s="68"/>
      <c r="G51" s="68"/>
      <c r="H51" s="68"/>
      <c r="I51" s="68"/>
      <c r="J51" s="68"/>
    </row>
    <row r="52" spans="2:10" ht="12.7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</row>
    <row r="53" spans="2:10" ht="12.75" customHeight="1" x14ac:dyDescent="0.2">
      <c r="B53" s="68"/>
      <c r="C53" s="68"/>
      <c r="D53" s="68"/>
      <c r="E53" s="68"/>
      <c r="F53" s="68"/>
      <c r="G53" s="68"/>
      <c r="H53" s="68"/>
      <c r="I53" s="68"/>
      <c r="J53" s="68"/>
    </row>
    <row r="54" spans="2:10" ht="12.75" customHeight="1" x14ac:dyDescent="0.2">
      <c r="B54" s="68"/>
      <c r="C54" s="68"/>
      <c r="D54" s="68"/>
      <c r="E54" s="68"/>
      <c r="F54" s="68"/>
      <c r="G54" s="68"/>
      <c r="H54" s="68"/>
      <c r="I54" s="68"/>
      <c r="J54" s="68"/>
    </row>
    <row r="55" spans="2:10" ht="12.75" customHeight="1" x14ac:dyDescent="0.2">
      <c r="B55" s="68"/>
      <c r="C55" s="68"/>
      <c r="D55" s="68"/>
      <c r="E55" s="68"/>
      <c r="F55" s="68"/>
      <c r="G55" s="68"/>
      <c r="H55" s="68"/>
      <c r="I55" s="68"/>
      <c r="J55" s="68"/>
    </row>
    <row r="56" spans="2:10" ht="12.75" customHeight="1" x14ac:dyDescent="0.2">
      <c r="B56" s="68"/>
      <c r="C56" s="68"/>
      <c r="D56" s="68"/>
      <c r="E56" s="68"/>
      <c r="F56" s="68"/>
      <c r="G56" s="68"/>
      <c r="H56" s="68"/>
      <c r="I56" s="68"/>
      <c r="J56" s="68"/>
    </row>
    <row r="57" spans="2:10" ht="12.75" customHeight="1" x14ac:dyDescent="0.2">
      <c r="B57" s="68"/>
      <c r="C57" s="68"/>
      <c r="D57" s="68"/>
      <c r="E57" s="68"/>
      <c r="F57" s="68"/>
      <c r="G57" s="68"/>
      <c r="H57" s="68"/>
      <c r="I57" s="68"/>
      <c r="J57" s="68"/>
    </row>
    <row r="58" spans="2:10" ht="12.75" customHeight="1" x14ac:dyDescent="0.2">
      <c r="B58" s="68"/>
      <c r="C58" s="68"/>
      <c r="D58" s="68"/>
      <c r="E58" s="68"/>
      <c r="F58" s="68"/>
      <c r="G58" s="68"/>
      <c r="H58" s="68"/>
      <c r="I58" s="68"/>
      <c r="J58" s="68"/>
    </row>
    <row r="59" spans="2:10" ht="12.75" customHeight="1" x14ac:dyDescent="0.2">
      <c r="B59" s="68"/>
      <c r="C59" s="68"/>
      <c r="D59" s="68"/>
      <c r="E59" s="68"/>
      <c r="F59" s="68"/>
      <c r="G59" s="68"/>
      <c r="H59" s="68"/>
      <c r="I59" s="68"/>
      <c r="J59" s="68"/>
    </row>
    <row r="60" spans="2:10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</row>
    <row r="61" spans="2:10" ht="12.75" customHeight="1" x14ac:dyDescent="0.2">
      <c r="B61" s="68"/>
      <c r="C61" s="68"/>
      <c r="D61" s="68"/>
      <c r="E61" s="68"/>
      <c r="F61" s="68"/>
      <c r="G61" s="68"/>
      <c r="H61" s="68"/>
      <c r="I61" s="68"/>
      <c r="J61" s="68"/>
    </row>
    <row r="62" spans="2:10" ht="12.75" customHeight="1" x14ac:dyDescent="0.2">
      <c r="B62" s="68"/>
      <c r="C62" s="68"/>
      <c r="D62" s="68"/>
      <c r="E62" s="68"/>
      <c r="F62" s="68"/>
      <c r="G62" s="68"/>
      <c r="H62" s="68"/>
      <c r="I62" s="68"/>
      <c r="J62" s="68"/>
    </row>
    <row r="63" spans="2:10" ht="12.75" customHeight="1" x14ac:dyDescent="0.2">
      <c r="B63" s="68"/>
      <c r="C63" s="68"/>
      <c r="D63" s="68"/>
      <c r="E63" s="68"/>
      <c r="F63" s="68"/>
      <c r="G63" s="68"/>
      <c r="H63" s="68"/>
      <c r="I63" s="68"/>
      <c r="J63" s="68"/>
    </row>
    <row r="64" spans="2:10" ht="12.75" customHeight="1" x14ac:dyDescent="0.2">
      <c r="B64" s="68"/>
      <c r="C64" s="68"/>
      <c r="D64" s="68"/>
      <c r="E64" s="68"/>
      <c r="F64" s="68"/>
      <c r="G64" s="68"/>
      <c r="H64" s="68"/>
      <c r="I64" s="68"/>
      <c r="J64" s="68"/>
    </row>
    <row r="65" spans="2:10" ht="12.75" customHeight="1" x14ac:dyDescent="0.2">
      <c r="B65" s="68"/>
      <c r="C65" s="68"/>
      <c r="D65" s="68"/>
      <c r="E65" s="68"/>
      <c r="F65" s="68"/>
      <c r="G65" s="68"/>
      <c r="H65" s="68"/>
      <c r="I65" s="68"/>
      <c r="J65" s="68"/>
    </row>
    <row r="66" spans="2:10" ht="12.75" customHeight="1" x14ac:dyDescent="0.2">
      <c r="B66" s="68"/>
      <c r="C66" s="68"/>
      <c r="D66" s="68"/>
      <c r="E66" s="68"/>
      <c r="F66" s="68"/>
      <c r="G66" s="68"/>
      <c r="H66" s="68"/>
      <c r="I66" s="68"/>
      <c r="J66" s="68"/>
    </row>
    <row r="67" spans="2:10" ht="12.75" customHeight="1" x14ac:dyDescent="0.2">
      <c r="B67" s="68"/>
      <c r="C67" s="68"/>
      <c r="D67" s="68"/>
      <c r="E67" s="68"/>
      <c r="F67" s="68"/>
      <c r="G67" s="68"/>
      <c r="H67" s="68"/>
      <c r="I67" s="68"/>
      <c r="J67" s="68"/>
    </row>
  </sheetData>
  <mergeCells count="31">
    <mergeCell ref="G32:I32"/>
    <mergeCell ref="H31:I31"/>
    <mergeCell ref="G10:I10"/>
    <mergeCell ref="G9:I9"/>
    <mergeCell ref="C29:H29"/>
    <mergeCell ref="H2:I2"/>
    <mergeCell ref="C7:E7"/>
    <mergeCell ref="C8:E8"/>
    <mergeCell ref="C9:E9"/>
    <mergeCell ref="C10:E10"/>
    <mergeCell ref="G3:I3"/>
    <mergeCell ref="G4:I4"/>
    <mergeCell ref="C6:I6"/>
    <mergeCell ref="G7:I7"/>
    <mergeCell ref="G8:I8"/>
    <mergeCell ref="C33:F33"/>
    <mergeCell ref="G33:I33"/>
    <mergeCell ref="C11:E12"/>
    <mergeCell ref="C13:E13"/>
    <mergeCell ref="C14:E14"/>
    <mergeCell ref="G14:I14"/>
    <mergeCell ref="G11:I12"/>
    <mergeCell ref="G13:I13"/>
    <mergeCell ref="C16:C17"/>
    <mergeCell ref="D16:D17"/>
    <mergeCell ref="E16:E17"/>
    <mergeCell ref="F16:F17"/>
    <mergeCell ref="C15:I15"/>
    <mergeCell ref="C30:F30"/>
    <mergeCell ref="C31:F31"/>
    <mergeCell ref="C32:F32"/>
  </mergeCells>
  <printOptions horizontalCentered="1"/>
  <pageMargins left="0.23622047244094499" right="0.23622047244094499" top="0.25" bottom="0.74803149606299202" header="0.31496062992126" footer="0.31496062992126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Facturi!$A:$A</xm:f>
          </x14:formula1>
          <xm:sqref>M3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1"/>
  <sheetViews>
    <sheetView tabSelected="1" workbookViewId="0">
      <selection activeCell="D6" sqref="D6"/>
    </sheetView>
  </sheetViews>
  <sheetFormatPr baseColWidth="10" defaultRowHeight="13" x14ac:dyDescent="0.15"/>
  <cols>
    <col min="2" max="2" width="119.6640625" customWidth="1"/>
  </cols>
  <sheetData>
    <row r="2" spans="2:2" ht="67" customHeight="1" x14ac:dyDescent="0.15">
      <c r="B2" s="95" t="s">
        <v>126</v>
      </c>
    </row>
    <row r="3" spans="2:2" ht="35" customHeight="1" x14ac:dyDescent="0.15">
      <c r="B3" s="96" t="s">
        <v>127</v>
      </c>
    </row>
    <row r="4" spans="2:2" x14ac:dyDescent="0.15">
      <c r="B4" s="96" t="s">
        <v>135</v>
      </c>
    </row>
    <row r="5" spans="2:2" ht="30" customHeight="1" x14ac:dyDescent="0.15">
      <c r="B5" s="96" t="s">
        <v>128</v>
      </c>
    </row>
    <row r="6" spans="2:2" ht="16" x14ac:dyDescent="0.15">
      <c r="B6" s="97" t="s">
        <v>129</v>
      </c>
    </row>
    <row r="7" spans="2:2" ht="24" customHeight="1" x14ac:dyDescent="0.15">
      <c r="B7" s="96" t="s">
        <v>130</v>
      </c>
    </row>
    <row r="8" spans="2:2" ht="33" customHeight="1" x14ac:dyDescent="0.15">
      <c r="B8" s="96" t="s">
        <v>131</v>
      </c>
    </row>
    <row r="9" spans="2:2" ht="27" customHeight="1" x14ac:dyDescent="0.15">
      <c r="B9" s="96" t="s">
        <v>132</v>
      </c>
    </row>
    <row r="10" spans="2:2" ht="30" customHeight="1" x14ac:dyDescent="0.15">
      <c r="B10" s="96" t="s">
        <v>133</v>
      </c>
    </row>
    <row r="11" spans="2:2" ht="25" customHeight="1" x14ac:dyDescent="0.15">
      <c r="B11" s="96" t="s">
        <v>134</v>
      </c>
    </row>
  </sheetData>
  <hyperlinks>
    <hyperlink ref="B3" r:id="rId1"/>
    <hyperlink ref="B5" r:id="rId2"/>
    <hyperlink ref="B7" r:id="rId3"/>
    <hyperlink ref="B9" r:id="rId4"/>
    <hyperlink ref="B10" r:id="rId5"/>
    <hyperlink ref="B11" r:id="rId6"/>
    <hyperlink ref="B8" r:id="rId7"/>
    <hyperlink ref="B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workbookViewId="0">
      <selection activeCell="D4" sqref="D4:L4"/>
    </sheetView>
  </sheetViews>
  <sheetFormatPr baseColWidth="10" defaultColWidth="8.83203125" defaultRowHeight="14" x14ac:dyDescent="0.15"/>
  <cols>
    <col min="1" max="1" width="2.6640625" style="34" customWidth="1"/>
    <col min="2" max="2" width="8.33203125" style="34" customWidth="1"/>
    <col min="3" max="3" width="9.1640625" style="34" customWidth="1"/>
    <col min="4" max="4" width="6.5" style="34" customWidth="1"/>
    <col min="5" max="6" width="10.1640625" style="34" customWidth="1"/>
    <col min="7" max="7" width="3.5" style="34" customWidth="1"/>
    <col min="8" max="8" width="5.5" style="34" customWidth="1"/>
    <col min="9" max="9" width="8.1640625" style="34" customWidth="1"/>
    <col min="10" max="10" width="10.5" style="34" customWidth="1"/>
    <col min="11" max="11" width="12" style="34" bestFit="1" customWidth="1"/>
    <col min="12" max="12" width="3.5" style="34" customWidth="1"/>
    <col min="13" max="16384" width="8.83203125" style="34"/>
  </cols>
  <sheetData>
    <row r="1" spans="2:12" ht="12" customHeight="1" x14ac:dyDescent="0.15"/>
    <row r="2" spans="2:12" x14ac:dyDescent="0.15">
      <c r="B2" s="128" t="s">
        <v>46</v>
      </c>
      <c r="C2" s="128"/>
      <c r="D2" s="130" t="s">
        <v>119</v>
      </c>
      <c r="E2" s="130"/>
      <c r="F2" s="130"/>
      <c r="G2" s="130"/>
      <c r="H2" s="130"/>
      <c r="I2" s="130"/>
      <c r="J2" s="130"/>
      <c r="K2" s="130"/>
      <c r="L2" s="130"/>
    </row>
    <row r="3" spans="2:12" x14ac:dyDescent="0.15">
      <c r="B3" s="128" t="s">
        <v>68</v>
      </c>
      <c r="C3" s="128"/>
      <c r="D3" s="129">
        <v>500</v>
      </c>
      <c r="E3" s="129">
        <v>3100</v>
      </c>
      <c r="F3" s="129">
        <v>3100</v>
      </c>
      <c r="G3" s="129">
        <v>3100</v>
      </c>
      <c r="H3" s="129">
        <v>3100</v>
      </c>
      <c r="I3" s="129">
        <v>3100</v>
      </c>
      <c r="J3" s="129">
        <v>3100</v>
      </c>
      <c r="K3" s="129">
        <v>3100</v>
      </c>
      <c r="L3" s="129">
        <v>3100</v>
      </c>
    </row>
    <row r="4" spans="2:12" x14ac:dyDescent="0.15">
      <c r="B4" s="128" t="s">
        <v>69</v>
      </c>
      <c r="C4" s="128"/>
      <c r="D4" s="130" t="s">
        <v>120</v>
      </c>
      <c r="E4" s="130"/>
      <c r="F4" s="130"/>
      <c r="G4" s="130"/>
      <c r="H4" s="130"/>
      <c r="I4" s="130"/>
      <c r="J4" s="130"/>
      <c r="K4" s="130"/>
      <c r="L4" s="130"/>
    </row>
    <row r="6" spans="2:12" x14ac:dyDescent="0.15">
      <c r="B6" s="35" t="s">
        <v>62</v>
      </c>
      <c r="C6" s="36" t="s">
        <v>63</v>
      </c>
      <c r="D6" s="36" t="s">
        <v>40</v>
      </c>
      <c r="E6" s="134" t="str">
        <f>D2</f>
        <v>0015</v>
      </c>
      <c r="F6" s="134"/>
      <c r="G6" s="36"/>
      <c r="H6" s="36"/>
      <c r="I6" s="36"/>
      <c r="J6" s="36"/>
      <c r="K6" s="36"/>
      <c r="L6" s="37"/>
    </row>
    <row r="7" spans="2:12" x14ac:dyDescent="0.15">
      <c r="B7" s="38" t="s">
        <v>47</v>
      </c>
      <c r="C7" s="125" t="s">
        <v>48</v>
      </c>
      <c r="D7" s="125"/>
      <c r="E7" s="125"/>
      <c r="F7" s="125"/>
      <c r="G7" s="39"/>
      <c r="H7" s="133" t="s">
        <v>61</v>
      </c>
      <c r="I7" s="133"/>
      <c r="J7" s="133"/>
      <c r="K7" s="133"/>
      <c r="L7" s="40"/>
    </row>
    <row r="8" spans="2:12" x14ac:dyDescent="0.15">
      <c r="B8" s="38" t="s">
        <v>49</v>
      </c>
      <c r="C8" s="125" t="s">
        <v>50</v>
      </c>
      <c r="D8" s="125"/>
      <c r="E8" s="125"/>
      <c r="F8" s="125"/>
      <c r="G8" s="39"/>
      <c r="H8" s="133"/>
      <c r="I8" s="133"/>
      <c r="J8" s="133"/>
      <c r="K8" s="133"/>
      <c r="L8" s="40"/>
    </row>
    <row r="9" spans="2:12" x14ac:dyDescent="0.15">
      <c r="B9" s="38" t="s">
        <v>51</v>
      </c>
      <c r="C9" s="125" t="s">
        <v>52</v>
      </c>
      <c r="D9" s="125"/>
      <c r="E9" s="125"/>
      <c r="F9" s="125"/>
      <c r="G9" s="39"/>
      <c r="H9" s="133"/>
      <c r="I9" s="133"/>
      <c r="J9" s="133"/>
      <c r="K9" s="133"/>
      <c r="L9" s="40"/>
    </row>
    <row r="10" spans="2:12" ht="12.75" customHeight="1" x14ac:dyDescent="0.15">
      <c r="B10" s="38" t="s">
        <v>53</v>
      </c>
      <c r="C10" s="125" t="s">
        <v>44</v>
      </c>
      <c r="D10" s="125"/>
      <c r="E10" s="125"/>
      <c r="F10" s="125"/>
      <c r="G10" s="39"/>
      <c r="H10" s="133"/>
      <c r="I10" s="133"/>
      <c r="J10" s="133"/>
      <c r="K10" s="133"/>
      <c r="L10" s="40"/>
    </row>
    <row r="11" spans="2:12" x14ac:dyDescent="0.15">
      <c r="B11" s="38" t="s">
        <v>54</v>
      </c>
      <c r="C11" s="125" t="s">
        <v>41</v>
      </c>
      <c r="D11" s="125"/>
      <c r="E11" s="125"/>
      <c r="F11" s="125"/>
      <c r="G11" s="39"/>
      <c r="H11" s="131" t="s">
        <v>45</v>
      </c>
      <c r="I11" s="131"/>
      <c r="J11" s="41" t="s">
        <v>67</v>
      </c>
      <c r="K11" s="48" t="str">
        <f>D2</f>
        <v>0015</v>
      </c>
      <c r="L11" s="40"/>
    </row>
    <row r="12" spans="2:12" x14ac:dyDescent="0.15">
      <c r="B12" s="38" t="s">
        <v>55</v>
      </c>
      <c r="C12" s="125" t="s">
        <v>56</v>
      </c>
      <c r="D12" s="125"/>
      <c r="E12" s="125"/>
      <c r="F12" s="125"/>
      <c r="G12" s="125"/>
      <c r="H12" s="131" t="s">
        <v>66</v>
      </c>
      <c r="I12" s="131"/>
      <c r="J12" s="131"/>
      <c r="K12" s="49">
        <f>VLOOKUP(D2,Facturi!A:D,4,0)</f>
        <v>41993</v>
      </c>
      <c r="L12" s="40"/>
    </row>
    <row r="13" spans="2:12" x14ac:dyDescent="0.15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40"/>
    </row>
    <row r="14" spans="2:12" x14ac:dyDescent="0.15">
      <c r="B14" s="132" t="s">
        <v>57</v>
      </c>
      <c r="C14" s="125"/>
      <c r="D14" s="125" t="str">
        <f>VLOOKUP(D2,Facturi!A:F,6,0)</f>
        <v>SC CLIENT 6</v>
      </c>
      <c r="E14" s="125"/>
      <c r="F14" s="125"/>
      <c r="G14" s="39" t="s">
        <v>51</v>
      </c>
      <c r="H14" s="125" t="str">
        <f>VLOOKUP(D14,Clienti!A:B,2,0)</f>
        <v>RO XXXXXXXX</v>
      </c>
      <c r="I14" s="125"/>
      <c r="J14" s="39" t="s">
        <v>49</v>
      </c>
      <c r="K14" s="39" t="str">
        <f>VLOOKUP(D14,Clienti!A:C,3,0)</f>
        <v>J05/XXX/XXXX</v>
      </c>
      <c r="L14" s="40"/>
    </row>
    <row r="15" spans="2:12" x14ac:dyDescent="0.15">
      <c r="B15" s="38" t="s">
        <v>16</v>
      </c>
      <c r="C15" s="125" t="str">
        <f>VLOOKUP(D14,Clienti!A:D,4,0)</f>
        <v>Adresa …</v>
      </c>
      <c r="D15" s="125"/>
      <c r="E15" s="125"/>
      <c r="F15" s="125"/>
      <c r="G15" s="125"/>
      <c r="H15" s="125"/>
      <c r="I15" s="125"/>
      <c r="J15" s="125"/>
      <c r="K15" s="125"/>
      <c r="L15" s="40"/>
    </row>
    <row r="16" spans="2:12" x14ac:dyDescent="0.15">
      <c r="B16" s="38" t="s">
        <v>58</v>
      </c>
      <c r="C16" s="44">
        <f>D3</f>
        <v>500</v>
      </c>
      <c r="D16" s="39" t="s">
        <v>64</v>
      </c>
      <c r="E16" s="124" t="str">
        <f>D4</f>
        <v>cinci sute lei</v>
      </c>
      <c r="F16" s="125"/>
      <c r="G16" s="125"/>
      <c r="H16" s="125"/>
      <c r="I16" s="125"/>
      <c r="J16" s="125"/>
      <c r="K16" s="125"/>
      <c r="L16" s="40"/>
    </row>
    <row r="17" spans="2:12" x14ac:dyDescent="0.15">
      <c r="B17" s="126" t="s">
        <v>65</v>
      </c>
      <c r="C17" s="127"/>
      <c r="D17" s="127"/>
      <c r="E17" s="127"/>
      <c r="F17" s="127"/>
      <c r="G17" s="42" t="s">
        <v>59</v>
      </c>
      <c r="H17" s="45" t="str">
        <f>D2</f>
        <v>0015</v>
      </c>
      <c r="I17" s="47" t="s">
        <v>60</v>
      </c>
      <c r="J17" s="46">
        <f>VLOOKUP(D2,Facturi!A:D,4,0)</f>
        <v>41993</v>
      </c>
      <c r="K17" s="42"/>
      <c r="L17" s="43"/>
    </row>
    <row r="18" spans="2:12" x14ac:dyDescent="0.15">
      <c r="B18" s="52"/>
      <c r="C18" s="52"/>
      <c r="D18" s="52"/>
      <c r="E18" s="52"/>
      <c r="F18" s="52"/>
      <c r="G18" s="39"/>
      <c r="H18" s="53"/>
      <c r="I18" s="50"/>
      <c r="J18" s="49"/>
      <c r="K18" s="39"/>
      <c r="L18" s="39"/>
    </row>
    <row r="19" spans="2:12" x14ac:dyDescent="0.15">
      <c r="B19" s="52"/>
      <c r="C19" s="52"/>
      <c r="D19" s="52"/>
      <c r="E19" s="52"/>
      <c r="F19" s="52"/>
      <c r="G19" s="39"/>
      <c r="H19" s="53"/>
      <c r="I19" s="50"/>
      <c r="J19" s="49"/>
      <c r="K19" s="39"/>
      <c r="L19" s="39"/>
    </row>
    <row r="20" spans="2:12" x14ac:dyDescent="0.15">
      <c r="B20" s="52"/>
      <c r="C20" s="52"/>
      <c r="D20" s="52"/>
      <c r="E20" s="52"/>
      <c r="F20" s="52"/>
      <c r="G20" s="39"/>
      <c r="H20" s="53"/>
      <c r="I20" s="50"/>
      <c r="J20" s="49"/>
      <c r="K20" s="39"/>
      <c r="L20" s="39"/>
    </row>
    <row r="21" spans="2:12" x14ac:dyDescent="0.15">
      <c r="B21" s="52"/>
      <c r="C21" s="52"/>
      <c r="D21" s="52"/>
      <c r="E21" s="52"/>
      <c r="F21" s="52"/>
      <c r="G21" s="39"/>
      <c r="H21" s="53"/>
      <c r="I21" s="50"/>
      <c r="J21" s="49"/>
      <c r="K21" s="39"/>
      <c r="L21" s="39"/>
    </row>
    <row r="22" spans="2:12" x14ac:dyDescent="0.15">
      <c r="B22" s="52"/>
      <c r="C22" s="52"/>
      <c r="D22" s="52"/>
      <c r="E22" s="52"/>
      <c r="F22" s="52"/>
      <c r="G22" s="39"/>
      <c r="H22" s="53"/>
      <c r="I22" s="50"/>
      <c r="J22" s="49"/>
      <c r="K22" s="39"/>
      <c r="L22" s="39"/>
    </row>
    <row r="23" spans="2:12" x14ac:dyDescent="0.15">
      <c r="B23" s="52"/>
      <c r="C23" s="52"/>
      <c r="D23" s="52"/>
      <c r="E23" s="52"/>
      <c r="F23" s="52"/>
      <c r="G23" s="39"/>
      <c r="H23" s="53"/>
      <c r="I23" s="50"/>
      <c r="J23" s="49"/>
      <c r="K23" s="39"/>
      <c r="L23" s="39"/>
    </row>
    <row r="24" spans="2:12" x14ac:dyDescent="0.15">
      <c r="B24" s="52"/>
      <c r="C24" s="52"/>
      <c r="D24" s="52"/>
      <c r="E24" s="52"/>
      <c r="F24" s="52"/>
      <c r="G24" s="39"/>
      <c r="H24" s="53"/>
      <c r="I24" s="50"/>
      <c r="J24" s="49"/>
      <c r="K24" s="39"/>
      <c r="L24" s="39"/>
    </row>
    <row r="25" spans="2:12" x14ac:dyDescent="0.15">
      <c r="B25" s="52"/>
      <c r="C25" s="52"/>
      <c r="D25" s="52"/>
      <c r="E25" s="52"/>
      <c r="F25" s="52"/>
      <c r="G25" s="39"/>
      <c r="H25" s="53"/>
      <c r="I25" s="50"/>
      <c r="J25" s="49"/>
      <c r="K25" s="39"/>
      <c r="L25" s="39"/>
    </row>
    <row r="26" spans="2:12" x14ac:dyDescent="0.15">
      <c r="B26" s="52"/>
      <c r="C26" s="52"/>
      <c r="D26" s="52"/>
      <c r="E26" s="52"/>
      <c r="F26" s="52"/>
      <c r="G26" s="39"/>
      <c r="H26" s="53"/>
      <c r="I26" s="50"/>
      <c r="J26" s="49"/>
      <c r="K26" s="39"/>
      <c r="L26" s="39"/>
    </row>
    <row r="27" spans="2:12" x14ac:dyDescent="0.15">
      <c r="B27" s="52"/>
      <c r="C27" s="52"/>
      <c r="D27" s="52"/>
      <c r="E27" s="52"/>
      <c r="F27" s="52"/>
      <c r="G27" s="39"/>
      <c r="H27" s="53"/>
      <c r="I27" s="50"/>
      <c r="J27" s="49"/>
      <c r="K27" s="39"/>
      <c r="L27" s="39"/>
    </row>
    <row r="28" spans="2:12" x14ac:dyDescent="0.15">
      <c r="B28" s="52"/>
      <c r="C28" s="52"/>
      <c r="D28" s="52"/>
      <c r="E28" s="52"/>
      <c r="F28" s="52"/>
      <c r="G28" s="39"/>
      <c r="H28" s="53"/>
      <c r="I28" s="50"/>
      <c r="J28" s="49"/>
      <c r="K28" s="39"/>
      <c r="L28" s="39"/>
    </row>
    <row r="29" spans="2:12" x14ac:dyDescent="0.15">
      <c r="B29" s="52"/>
      <c r="C29" s="52"/>
      <c r="D29" s="52"/>
      <c r="E29" s="52"/>
      <c r="F29" s="52"/>
      <c r="G29" s="39"/>
      <c r="H29" s="53"/>
      <c r="I29" s="50"/>
      <c r="J29" s="49"/>
      <c r="K29" s="39"/>
      <c r="L29" s="39"/>
    </row>
    <row r="30" spans="2:12" x14ac:dyDescent="0.15">
      <c r="B30" s="52"/>
      <c r="C30" s="52"/>
      <c r="D30" s="52"/>
      <c r="E30" s="52"/>
      <c r="F30" s="52"/>
      <c r="G30" s="39"/>
      <c r="H30" s="53"/>
      <c r="I30" s="50"/>
      <c r="J30" s="49"/>
      <c r="K30" s="39"/>
      <c r="L30" s="39"/>
    </row>
    <row r="31" spans="2:12" x14ac:dyDescent="0.15">
      <c r="B31" s="52"/>
      <c r="C31" s="52"/>
      <c r="D31" s="52"/>
      <c r="E31" s="52"/>
      <c r="F31" s="52"/>
      <c r="G31" s="39"/>
      <c r="H31" s="53"/>
      <c r="I31" s="50"/>
      <c r="J31" s="49"/>
      <c r="K31" s="39"/>
      <c r="L31" s="39"/>
    </row>
    <row r="32" spans="2:12" x14ac:dyDescent="0.15">
      <c r="B32" s="52"/>
      <c r="C32" s="52"/>
      <c r="D32" s="52"/>
      <c r="E32" s="52"/>
      <c r="F32" s="52"/>
      <c r="G32" s="39"/>
      <c r="H32" s="53"/>
      <c r="I32" s="50"/>
      <c r="J32" s="49"/>
      <c r="K32" s="39"/>
      <c r="L32" s="39"/>
    </row>
    <row r="34" spans="2:12" x14ac:dyDescent="0.15">
      <c r="B34" s="35" t="s">
        <v>62</v>
      </c>
      <c r="C34" s="36" t="s">
        <v>63</v>
      </c>
      <c r="D34" s="36" t="s">
        <v>40</v>
      </c>
      <c r="E34" s="134" t="str">
        <f>D2</f>
        <v>0015</v>
      </c>
      <c r="F34" s="135"/>
      <c r="G34" s="36"/>
      <c r="H34" s="36"/>
      <c r="I34" s="36"/>
      <c r="J34" s="36"/>
      <c r="K34" s="36"/>
      <c r="L34" s="37"/>
    </row>
    <row r="35" spans="2:12" x14ac:dyDescent="0.15">
      <c r="B35" s="38" t="s">
        <v>47</v>
      </c>
      <c r="C35" s="125" t="s">
        <v>48</v>
      </c>
      <c r="D35" s="125"/>
      <c r="E35" s="125"/>
      <c r="F35" s="125"/>
      <c r="G35" s="39"/>
      <c r="H35" s="133" t="s">
        <v>61</v>
      </c>
      <c r="I35" s="133"/>
      <c r="J35" s="133"/>
      <c r="K35" s="133"/>
      <c r="L35" s="40"/>
    </row>
    <row r="36" spans="2:12" x14ac:dyDescent="0.15">
      <c r="B36" s="38" t="s">
        <v>49</v>
      </c>
      <c r="C36" s="125" t="s">
        <v>50</v>
      </c>
      <c r="D36" s="125"/>
      <c r="E36" s="125"/>
      <c r="F36" s="125"/>
      <c r="G36" s="39"/>
      <c r="H36" s="133"/>
      <c r="I36" s="133"/>
      <c r="J36" s="133"/>
      <c r="K36" s="133"/>
      <c r="L36" s="40"/>
    </row>
    <row r="37" spans="2:12" x14ac:dyDescent="0.15">
      <c r="B37" s="38" t="s">
        <v>51</v>
      </c>
      <c r="C37" s="125" t="s">
        <v>52</v>
      </c>
      <c r="D37" s="125"/>
      <c r="E37" s="125"/>
      <c r="F37" s="125"/>
      <c r="G37" s="39"/>
      <c r="H37" s="133"/>
      <c r="I37" s="133"/>
      <c r="J37" s="133"/>
      <c r="K37" s="133"/>
      <c r="L37" s="40"/>
    </row>
    <row r="38" spans="2:12" x14ac:dyDescent="0.15">
      <c r="B38" s="38" t="s">
        <v>53</v>
      </c>
      <c r="C38" s="125" t="s">
        <v>44</v>
      </c>
      <c r="D38" s="125"/>
      <c r="E38" s="125"/>
      <c r="F38" s="125"/>
      <c r="G38" s="39"/>
      <c r="H38" s="133"/>
      <c r="I38" s="133"/>
      <c r="J38" s="133"/>
      <c r="K38" s="133"/>
      <c r="L38" s="40"/>
    </row>
    <row r="39" spans="2:12" x14ac:dyDescent="0.15">
      <c r="B39" s="38" t="s">
        <v>54</v>
      </c>
      <c r="C39" s="125" t="s">
        <v>41</v>
      </c>
      <c r="D39" s="125"/>
      <c r="E39" s="125"/>
      <c r="F39" s="125"/>
      <c r="G39" s="39"/>
      <c r="H39" s="131" t="s">
        <v>45</v>
      </c>
      <c r="I39" s="131"/>
      <c r="J39" s="41" t="s">
        <v>67</v>
      </c>
      <c r="K39" s="48" t="str">
        <f>D2</f>
        <v>0015</v>
      </c>
      <c r="L39" s="40"/>
    </row>
    <row r="40" spans="2:12" x14ac:dyDescent="0.15">
      <c r="B40" s="38" t="s">
        <v>55</v>
      </c>
      <c r="C40" s="125" t="s">
        <v>56</v>
      </c>
      <c r="D40" s="125"/>
      <c r="E40" s="125"/>
      <c r="F40" s="125"/>
      <c r="G40" s="39"/>
      <c r="H40" s="131" t="s">
        <v>66</v>
      </c>
      <c r="I40" s="131"/>
      <c r="J40" s="131"/>
      <c r="K40" s="49">
        <f>VLOOKUP(D2,Facturi!A:D,4,0)</f>
        <v>41993</v>
      </c>
      <c r="L40" s="40"/>
    </row>
    <row r="41" spans="2:12" x14ac:dyDescent="0.15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40"/>
    </row>
    <row r="42" spans="2:12" x14ac:dyDescent="0.15">
      <c r="B42" s="132" t="s">
        <v>57</v>
      </c>
      <c r="C42" s="125"/>
      <c r="D42" s="125" t="str">
        <f>VLOOKUP(D2,Facturi!A:F,6,0)</f>
        <v>SC CLIENT 6</v>
      </c>
      <c r="E42" s="125"/>
      <c r="F42" s="125"/>
      <c r="G42" s="39" t="s">
        <v>51</v>
      </c>
      <c r="H42" s="125" t="str">
        <f>VLOOKUP(D42,Clienti!A:B,2,0)</f>
        <v>RO XXXXXXXX</v>
      </c>
      <c r="I42" s="125"/>
      <c r="J42" s="39" t="s">
        <v>49</v>
      </c>
      <c r="K42" s="39" t="str">
        <f>VLOOKUP(D42,Clienti!A:C,3,0)</f>
        <v>J05/XXX/XXXX</v>
      </c>
      <c r="L42" s="40"/>
    </row>
    <row r="43" spans="2:12" x14ac:dyDescent="0.15">
      <c r="B43" s="38" t="s">
        <v>16</v>
      </c>
      <c r="C43" s="125" t="str">
        <f>VLOOKUP(D42,Clienti!A:D,4,0)</f>
        <v>Adresa …</v>
      </c>
      <c r="D43" s="125"/>
      <c r="E43" s="125"/>
      <c r="F43" s="125"/>
      <c r="G43" s="125"/>
      <c r="H43" s="125"/>
      <c r="I43" s="125"/>
      <c r="J43" s="125"/>
      <c r="K43" s="125"/>
      <c r="L43" s="40"/>
    </row>
    <row r="44" spans="2:12" x14ac:dyDescent="0.15">
      <c r="B44" s="38" t="s">
        <v>58</v>
      </c>
      <c r="C44" s="44">
        <f>D3</f>
        <v>500</v>
      </c>
      <c r="D44" s="39" t="s">
        <v>64</v>
      </c>
      <c r="E44" s="124" t="str">
        <f>D4</f>
        <v>cinci sute lei</v>
      </c>
      <c r="F44" s="125"/>
      <c r="G44" s="125"/>
      <c r="H44" s="125"/>
      <c r="I44" s="125"/>
      <c r="J44" s="125"/>
      <c r="K44" s="125"/>
      <c r="L44" s="40"/>
    </row>
    <row r="45" spans="2:12" x14ac:dyDescent="0.15">
      <c r="B45" s="126" t="s">
        <v>65</v>
      </c>
      <c r="C45" s="127"/>
      <c r="D45" s="127"/>
      <c r="E45" s="127"/>
      <c r="F45" s="127"/>
      <c r="G45" s="42" t="s">
        <v>59</v>
      </c>
      <c r="H45" s="45" t="str">
        <f>D2</f>
        <v>0015</v>
      </c>
      <c r="I45" s="47" t="s">
        <v>60</v>
      </c>
      <c r="J45" s="46">
        <f>VLOOKUP(D2,Facturi!A:D,4,0)</f>
        <v>41993</v>
      </c>
      <c r="K45" s="42"/>
      <c r="L45" s="43"/>
    </row>
  </sheetData>
  <mergeCells count="38">
    <mergeCell ref="D2:L2"/>
    <mergeCell ref="E34:F34"/>
    <mergeCell ref="B2:C2"/>
    <mergeCell ref="B14:C14"/>
    <mergeCell ref="D14:F14"/>
    <mergeCell ref="H12:J12"/>
    <mergeCell ref="H11:I11"/>
    <mergeCell ref="C15:K15"/>
    <mergeCell ref="C7:F7"/>
    <mergeCell ref="C8:F8"/>
    <mergeCell ref="C9:F9"/>
    <mergeCell ref="C10:F10"/>
    <mergeCell ref="H7:K10"/>
    <mergeCell ref="C11:F11"/>
    <mergeCell ref="C37:F37"/>
    <mergeCell ref="C38:F38"/>
    <mergeCell ref="C39:F39"/>
    <mergeCell ref="H39:I39"/>
    <mergeCell ref="E6:F6"/>
    <mergeCell ref="B17:F17"/>
    <mergeCell ref="H14:I14"/>
    <mergeCell ref="E16:K16"/>
    <mergeCell ref="E44:K44"/>
    <mergeCell ref="B45:F45"/>
    <mergeCell ref="B3:C3"/>
    <mergeCell ref="B4:C4"/>
    <mergeCell ref="D3:L3"/>
    <mergeCell ref="D4:L4"/>
    <mergeCell ref="C12:G12"/>
    <mergeCell ref="C40:F40"/>
    <mergeCell ref="H40:J40"/>
    <mergeCell ref="B42:C42"/>
    <mergeCell ref="D42:F42"/>
    <mergeCell ref="H42:I42"/>
    <mergeCell ref="C43:K43"/>
    <mergeCell ref="C35:F35"/>
    <mergeCell ref="H35:K38"/>
    <mergeCell ref="C36:F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Facturi!$A:$A</xm:f>
          </x14:formula1>
          <xm:sqref>D2:L2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H14" sqref="H14"/>
    </sheetView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10" defaultColWidth="17.1640625" defaultRowHeight="12.75" customHeight="1" x14ac:dyDescent="0.2"/>
  <cols>
    <col min="1" max="1" width="5.6640625" style="9" bestFit="1" customWidth="1"/>
    <col min="2" max="2" width="6.1640625" style="25" bestFit="1" customWidth="1"/>
    <col min="3" max="3" width="6.5" style="25" bestFit="1" customWidth="1"/>
    <col min="4" max="4" width="10.5" style="13" bestFit="1" customWidth="1"/>
    <col min="5" max="6" width="27.1640625" style="1" customWidth="1"/>
    <col min="7" max="7" width="6.83203125" style="56" bestFit="1" customWidth="1"/>
    <col min="8" max="8" width="6" style="1" bestFit="1" customWidth="1"/>
    <col min="9" max="9" width="11.5" style="25" bestFit="1" customWidth="1"/>
    <col min="10" max="12" width="12.1640625" style="8" customWidth="1"/>
    <col min="13" max="14" width="11.5" style="11" customWidth="1"/>
    <col min="15" max="15" width="9.5" style="1" bestFit="1" customWidth="1"/>
    <col min="16" max="16384" width="17.1640625" style="1"/>
  </cols>
  <sheetData>
    <row r="1" spans="1:15" s="73" customFormat="1" ht="28" x14ac:dyDescent="0.15">
      <c r="A1" s="75" t="s">
        <v>40</v>
      </c>
      <c r="B1" s="76" t="s">
        <v>85</v>
      </c>
      <c r="C1" s="76" t="s">
        <v>38</v>
      </c>
      <c r="D1" s="77" t="s">
        <v>86</v>
      </c>
      <c r="E1" s="73" t="s">
        <v>19</v>
      </c>
      <c r="F1" s="73" t="s">
        <v>35</v>
      </c>
      <c r="G1" s="78" t="s">
        <v>87</v>
      </c>
      <c r="H1" s="73" t="s">
        <v>37</v>
      </c>
      <c r="I1" s="76" t="s">
        <v>7</v>
      </c>
      <c r="J1" s="79" t="s">
        <v>20</v>
      </c>
      <c r="K1" s="79" t="s">
        <v>21</v>
      </c>
      <c r="L1" s="79" t="s">
        <v>22</v>
      </c>
      <c r="M1" s="80" t="s">
        <v>80</v>
      </c>
      <c r="N1" s="80" t="s">
        <v>84</v>
      </c>
      <c r="O1" s="73" t="s">
        <v>23</v>
      </c>
    </row>
    <row r="2" spans="1:15" ht="14" x14ac:dyDescent="0.2">
      <c r="A2" s="6" t="s">
        <v>1</v>
      </c>
      <c r="B2" s="20">
        <v>1</v>
      </c>
      <c r="C2" s="20" t="str">
        <f>CONCATENATE(Table1[[#This Row],[Nr.]],"-",Table1[[#This Row],[Nr 
CRT]])</f>
        <v>0001-1</v>
      </c>
      <c r="D2" s="12">
        <v>41821</v>
      </c>
      <c r="E2" s="4" t="s">
        <v>107</v>
      </c>
      <c r="F2" s="4" t="s">
        <v>88</v>
      </c>
      <c r="G2" s="55">
        <v>0.24</v>
      </c>
      <c r="H2" s="4" t="s">
        <v>78</v>
      </c>
      <c r="I2" s="20">
        <v>6</v>
      </c>
      <c r="J2" s="7">
        <v>140</v>
      </c>
      <c r="K2" s="7">
        <f>Table1[[#This Row],[Cantitatea]]*Table1[[#This Row],[Pret unitar]]</f>
        <v>840</v>
      </c>
      <c r="L2" s="7">
        <f>Table1[[#This Row],[Valoare]]*Table1[[#This Row],[Cota 
TVA]]</f>
        <v>201.6</v>
      </c>
      <c r="M2" s="10">
        <v>41835</v>
      </c>
      <c r="N2" s="10">
        <v>41835</v>
      </c>
      <c r="O2" s="7" t="str">
        <f>IF(Table1[[#This Row],[Data 
incasarii]]=0,"Neachitat","Achitat")</f>
        <v>Achitat</v>
      </c>
    </row>
    <row r="3" spans="1:15" ht="14" x14ac:dyDescent="0.2">
      <c r="A3" s="14" t="s">
        <v>24</v>
      </c>
      <c r="B3" s="20">
        <v>1</v>
      </c>
      <c r="C3" s="21" t="str">
        <f>CONCATENATE(Table1[[#This Row],[Nr.]],"-",Table1[[#This Row],[Nr 
CRT]])</f>
        <v>0002-1</v>
      </c>
      <c r="D3" s="15">
        <v>41835</v>
      </c>
      <c r="E3" s="4" t="s">
        <v>107</v>
      </c>
      <c r="F3" s="4" t="s">
        <v>89</v>
      </c>
      <c r="G3" s="55">
        <v>0.24</v>
      </c>
      <c r="H3" s="4" t="s">
        <v>78</v>
      </c>
      <c r="I3" s="21">
        <v>1</v>
      </c>
      <c r="J3" s="16">
        <v>440</v>
      </c>
      <c r="K3" s="16">
        <f>Table1[[#This Row],[Cantitatea]]*Table1[[#This Row],[Pret unitar]]</f>
        <v>440</v>
      </c>
      <c r="L3" s="7">
        <f>Table1[[#This Row],[Valoare]]*Table1[[#This Row],[Cota 
TVA]]</f>
        <v>105.6</v>
      </c>
      <c r="M3" s="17">
        <v>41848</v>
      </c>
      <c r="N3" s="17">
        <v>41848</v>
      </c>
      <c r="O3" s="7" t="str">
        <f>IF(Table1[[#This Row],[Data 
incasarii]]=0,"Neachitat","Achitat")</f>
        <v>Achitat</v>
      </c>
    </row>
    <row r="4" spans="1:15" ht="14" x14ac:dyDescent="0.2">
      <c r="A4" s="14" t="s">
        <v>25</v>
      </c>
      <c r="B4" s="20">
        <v>1</v>
      </c>
      <c r="C4" s="21" t="str">
        <f>CONCATENATE(Table1[[#This Row],[Nr.]],"-",Table1[[#This Row],[Nr 
CRT]])</f>
        <v>0003-1</v>
      </c>
      <c r="D4" s="12">
        <v>41849</v>
      </c>
      <c r="E4" s="4" t="s">
        <v>107</v>
      </c>
      <c r="F4" s="4" t="s">
        <v>90</v>
      </c>
      <c r="G4" s="55">
        <v>0.24</v>
      </c>
      <c r="H4" s="4" t="s">
        <v>78</v>
      </c>
      <c r="I4" s="21">
        <v>1</v>
      </c>
      <c r="J4" s="16">
        <v>685</v>
      </c>
      <c r="K4" s="16">
        <f>Table1[[#This Row],[Cantitatea]]*Table1[[#This Row],[Pret unitar]]</f>
        <v>685</v>
      </c>
      <c r="L4" s="16">
        <f>Table1[[#This Row],[Valoare]]*Table1[[#This Row],[Cota 
TVA]]</f>
        <v>164.4</v>
      </c>
      <c r="M4" s="10">
        <v>41861</v>
      </c>
      <c r="N4" s="10">
        <v>41861</v>
      </c>
      <c r="O4" s="7" t="str">
        <f>IF(Table1[[#This Row],[Data 
incasarii]]=0,"Neachitat","Achitat")</f>
        <v>Achitat</v>
      </c>
    </row>
    <row r="5" spans="1:15" ht="14" x14ac:dyDescent="0.2">
      <c r="A5" s="14" t="s">
        <v>26</v>
      </c>
      <c r="B5" s="20">
        <v>1</v>
      </c>
      <c r="C5" s="21" t="str">
        <f>CONCATENATE(Table1[[#This Row],[Nr.]],"-",Table1[[#This Row],[Nr 
CRT]])</f>
        <v>0004-1</v>
      </c>
      <c r="D5" s="15">
        <v>41863</v>
      </c>
      <c r="E5" s="4" t="s">
        <v>107</v>
      </c>
      <c r="F5" s="4" t="s">
        <v>91</v>
      </c>
      <c r="G5" s="55">
        <v>0.24</v>
      </c>
      <c r="H5" s="4" t="s">
        <v>78</v>
      </c>
      <c r="I5" s="21">
        <v>3</v>
      </c>
      <c r="J5" s="16">
        <v>607</v>
      </c>
      <c r="K5" s="16">
        <f>Table1[[#This Row],[Cantitatea]]*Table1[[#This Row],[Pret unitar]]</f>
        <v>1821</v>
      </c>
      <c r="L5" s="16">
        <f>Table1[[#This Row],[Valoare]]*Table1[[#This Row],[Cota 
TVA]]</f>
        <v>437.03999999999996</v>
      </c>
      <c r="M5" s="17">
        <v>41874</v>
      </c>
      <c r="N5" s="17">
        <v>41874</v>
      </c>
      <c r="O5" s="7" t="str">
        <f>IF(Table1[[#This Row],[Data 
incasarii]]=0,"Neachitat","Achitat")</f>
        <v>Achitat</v>
      </c>
    </row>
    <row r="6" spans="1:15" ht="14" x14ac:dyDescent="0.2">
      <c r="A6" s="14" t="s">
        <v>27</v>
      </c>
      <c r="B6" s="20">
        <v>1</v>
      </c>
      <c r="C6" s="21" t="str">
        <f>CONCATENATE(Table1[[#This Row],[Nr.]],"-",Table1[[#This Row],[Nr 
CRT]])</f>
        <v>0005-1</v>
      </c>
      <c r="D6" s="12">
        <v>41877</v>
      </c>
      <c r="E6" s="4" t="s">
        <v>107</v>
      </c>
      <c r="F6" s="4" t="s">
        <v>92</v>
      </c>
      <c r="G6" s="55">
        <v>0.24</v>
      </c>
      <c r="H6" s="4" t="s">
        <v>78</v>
      </c>
      <c r="I6" s="21">
        <v>1</v>
      </c>
      <c r="J6" s="16">
        <v>2000</v>
      </c>
      <c r="K6" s="16">
        <f>Table1[[#This Row],[Cantitatea]]*Table1[[#This Row],[Pret unitar]]</f>
        <v>2000</v>
      </c>
      <c r="L6" s="16">
        <f>Table1[[#This Row],[Valoare]]*Table1[[#This Row],[Cota 
TVA]]</f>
        <v>480</v>
      </c>
      <c r="M6" s="10">
        <v>41887</v>
      </c>
      <c r="N6" s="10">
        <v>41887</v>
      </c>
      <c r="O6" s="7" t="str">
        <f>IF(Table1[[#This Row],[Data 
incasarii]]=0,"Neachitat","Achitat")</f>
        <v>Achitat</v>
      </c>
    </row>
    <row r="7" spans="1:15" ht="14" x14ac:dyDescent="0.2">
      <c r="A7" s="14" t="s">
        <v>29</v>
      </c>
      <c r="B7" s="20">
        <v>1</v>
      </c>
      <c r="C7" s="21" t="str">
        <f>CONCATENATE(Table1[[#This Row],[Nr.]],"-",Table1[[#This Row],[Nr 
CRT]])</f>
        <v>0006-1</v>
      </c>
      <c r="D7" s="15">
        <v>41891</v>
      </c>
      <c r="E7" s="4" t="s">
        <v>107</v>
      </c>
      <c r="F7" s="4" t="s">
        <v>93</v>
      </c>
      <c r="G7" s="55">
        <v>0.24</v>
      </c>
      <c r="H7" s="4" t="s">
        <v>78</v>
      </c>
      <c r="I7" s="21">
        <v>1</v>
      </c>
      <c r="J7" s="16">
        <v>450</v>
      </c>
      <c r="K7" s="16">
        <f>Table1[[#This Row],[Cantitatea]]*Table1[[#This Row],[Pret unitar]]</f>
        <v>450</v>
      </c>
      <c r="L7" s="16">
        <f>Table1[[#This Row],[Valoare]]*Table1[[#This Row],[Cota 
TVA]]</f>
        <v>108</v>
      </c>
      <c r="M7" s="17">
        <v>41900</v>
      </c>
      <c r="N7" s="17">
        <v>41900</v>
      </c>
      <c r="O7" s="7" t="str">
        <f>IF(Table1[[#This Row],[Data 
incasarii]]=0,"Neachitat","Achitat")</f>
        <v>Achitat</v>
      </c>
    </row>
    <row r="8" spans="1:15" ht="14" x14ac:dyDescent="0.2">
      <c r="A8" s="14" t="s">
        <v>30</v>
      </c>
      <c r="B8" s="20">
        <v>1</v>
      </c>
      <c r="C8" s="21" t="str">
        <f>CONCATENATE(Table1[[#This Row],[Nr.]],"-",Table1[[#This Row],[Nr 
CRT]])</f>
        <v>0007-1</v>
      </c>
      <c r="D8" s="12">
        <v>41905</v>
      </c>
      <c r="E8" s="4" t="s">
        <v>107</v>
      </c>
      <c r="F8" s="4" t="s">
        <v>94</v>
      </c>
      <c r="G8" s="55">
        <v>0.24</v>
      </c>
      <c r="H8" s="4" t="s">
        <v>78</v>
      </c>
      <c r="I8" s="21">
        <v>1</v>
      </c>
      <c r="J8" s="16">
        <v>1580</v>
      </c>
      <c r="K8" s="16">
        <f>Table1[[#This Row],[Cantitatea]]*Table1[[#This Row],[Pret unitar]]</f>
        <v>1580</v>
      </c>
      <c r="L8" s="16">
        <f>Table1[[#This Row],[Valoare]]*Table1[[#This Row],[Cota 
TVA]]</f>
        <v>379.2</v>
      </c>
      <c r="M8" s="10">
        <v>41913</v>
      </c>
      <c r="N8" s="10">
        <v>41913</v>
      </c>
      <c r="O8" s="7" t="str">
        <f>IF(Table1[[#This Row],[Data 
incasarii]]=0,"Neachitat","Achitat")</f>
        <v>Achitat</v>
      </c>
    </row>
    <row r="9" spans="1:15" ht="14" x14ac:dyDescent="0.2">
      <c r="A9" s="14" t="s">
        <v>31</v>
      </c>
      <c r="B9" s="20">
        <v>1</v>
      </c>
      <c r="C9" s="21" t="str">
        <f>CONCATENATE(Table1[[#This Row],[Nr.]],"-",Table1[[#This Row],[Nr 
CRT]])</f>
        <v>0008-1</v>
      </c>
      <c r="D9" s="15">
        <v>41919</v>
      </c>
      <c r="E9" s="4" t="s">
        <v>107</v>
      </c>
      <c r="F9" s="4" t="s">
        <v>95</v>
      </c>
      <c r="G9" s="55">
        <v>0.24</v>
      </c>
      <c r="H9" s="4" t="s">
        <v>78</v>
      </c>
      <c r="I9" s="21">
        <v>1</v>
      </c>
      <c r="J9" s="16">
        <v>2200</v>
      </c>
      <c r="K9" s="16">
        <f>Table1[[#This Row],[Cantitatea]]*Table1[[#This Row],[Pret unitar]]</f>
        <v>2200</v>
      </c>
      <c r="L9" s="16">
        <f>Table1[[#This Row],[Valoare]]*Table1[[#This Row],[Cota 
TVA]]</f>
        <v>528</v>
      </c>
      <c r="M9" s="17">
        <v>41926</v>
      </c>
      <c r="N9" s="17">
        <v>41926</v>
      </c>
      <c r="O9" s="7" t="str">
        <f>IF(Table1[[#This Row],[Data 
incasarii]]=0,"Neachitat","Achitat")</f>
        <v>Achitat</v>
      </c>
    </row>
    <row r="10" spans="1:15" ht="14" x14ac:dyDescent="0.2">
      <c r="A10" s="14" t="s">
        <v>32</v>
      </c>
      <c r="B10" s="20">
        <v>1</v>
      </c>
      <c r="C10" s="21" t="str">
        <f>CONCATENATE(Table1[[#This Row],[Nr.]],"-",Table1[[#This Row],[Nr 
CRT]])</f>
        <v>0009-1</v>
      </c>
      <c r="D10" s="12">
        <v>41933</v>
      </c>
      <c r="E10" s="4" t="s">
        <v>107</v>
      </c>
      <c r="F10" s="4" t="s">
        <v>96</v>
      </c>
      <c r="G10" s="55">
        <v>0.24</v>
      </c>
      <c r="H10" s="4" t="s">
        <v>78</v>
      </c>
      <c r="I10" s="21">
        <v>1</v>
      </c>
      <c r="J10" s="16">
        <v>375</v>
      </c>
      <c r="K10" s="16">
        <f>Table1[[#This Row],[Cantitatea]]*Table1[[#This Row],[Pret unitar]]</f>
        <v>375</v>
      </c>
      <c r="L10" s="16">
        <f>Table1[[#This Row],[Valoare]]*Table1[[#This Row],[Cota 
TVA]]</f>
        <v>90</v>
      </c>
      <c r="M10" s="10">
        <v>41939</v>
      </c>
      <c r="N10" s="10">
        <v>41939</v>
      </c>
      <c r="O10" s="7" t="str">
        <f>IF(Table1[[#This Row],[Data 
incasarii]]=0,"Neachitat","Achitat")</f>
        <v>Achitat</v>
      </c>
    </row>
    <row r="11" spans="1:15" ht="14" x14ac:dyDescent="0.2">
      <c r="A11" s="22" t="s">
        <v>39</v>
      </c>
      <c r="B11" s="20">
        <v>1</v>
      </c>
      <c r="C11" s="24" t="str">
        <f>CONCATENATE(Table1[[#This Row],[Nr.]],"-",Table1[[#This Row],[Nr 
CRT]])</f>
        <v>0010-1</v>
      </c>
      <c r="D11" s="15">
        <v>41947</v>
      </c>
      <c r="E11" s="4" t="s">
        <v>107</v>
      </c>
      <c r="F11" s="4" t="s">
        <v>97</v>
      </c>
      <c r="G11" s="55">
        <v>0.24</v>
      </c>
      <c r="H11" s="4" t="s">
        <v>78</v>
      </c>
      <c r="I11" s="24">
        <v>5</v>
      </c>
      <c r="J11" s="23">
        <v>5000</v>
      </c>
      <c r="K11" s="23">
        <f>Table1[[#This Row],[Cantitatea]]*Table1[[#This Row],[Pret unitar]]</f>
        <v>25000</v>
      </c>
      <c r="L11" s="23">
        <f>Table1[[#This Row],[Valoare]]*Table1[[#This Row],[Cota 
TVA]]</f>
        <v>6000</v>
      </c>
      <c r="M11" s="17">
        <v>41952</v>
      </c>
      <c r="N11" s="17">
        <v>41952</v>
      </c>
      <c r="O11" s="7" t="str">
        <f>IF(Table1[[#This Row],[Data 
incasarii]]=0,"Neachitat","Achitat")</f>
        <v>Achitat</v>
      </c>
    </row>
    <row r="12" spans="1:15" ht="14" x14ac:dyDescent="0.2">
      <c r="A12" s="22" t="s">
        <v>42</v>
      </c>
      <c r="B12" s="24">
        <v>1</v>
      </c>
      <c r="C12" s="24" t="str">
        <f>CONCATENATE(Table1[[#This Row],[Nr.]],"-",Table1[[#This Row],[Nr 
CRT]])</f>
        <v>0011-1</v>
      </c>
      <c r="D12" s="12">
        <v>41961</v>
      </c>
      <c r="E12" s="4" t="s">
        <v>107</v>
      </c>
      <c r="F12" s="4" t="s">
        <v>98</v>
      </c>
      <c r="G12" s="55">
        <v>0.24</v>
      </c>
      <c r="H12" s="4" t="s">
        <v>78</v>
      </c>
      <c r="I12" s="24">
        <v>1</v>
      </c>
      <c r="J12" s="23">
        <v>6000</v>
      </c>
      <c r="K12" s="33">
        <f>Table1[[#This Row],[Cantitatea]]*Table1[[#This Row],[Pret unitar]]</f>
        <v>6000</v>
      </c>
      <c r="L12" s="23">
        <f>Table1[[#This Row],[Valoare]]*Table1[[#This Row],[Cota 
TVA]]</f>
        <v>1440</v>
      </c>
      <c r="M12" s="10">
        <v>41965</v>
      </c>
      <c r="N12" s="10"/>
      <c r="O12" s="7" t="str">
        <f>IF(Table1[[#This Row],[Data 
incasarii]]=0,"Neachitat","Achitat")</f>
        <v>Neachitat</v>
      </c>
    </row>
    <row r="13" spans="1:15" ht="14" x14ac:dyDescent="0.2">
      <c r="A13" s="22" t="s">
        <v>43</v>
      </c>
      <c r="B13" s="24">
        <v>1</v>
      </c>
      <c r="C13" s="24" t="str">
        <f>CONCATENATE(Table1[[#This Row],[Nr.]],"-",Table1[[#This Row],[Nr 
CRT]])</f>
        <v>0012-1</v>
      </c>
      <c r="D13" s="15">
        <v>41975</v>
      </c>
      <c r="E13" s="4" t="s">
        <v>107</v>
      </c>
      <c r="F13" s="4" t="s">
        <v>99</v>
      </c>
      <c r="G13" s="55">
        <v>0.24</v>
      </c>
      <c r="H13" s="4" t="s">
        <v>78</v>
      </c>
      <c r="I13" s="24">
        <v>1</v>
      </c>
      <c r="J13" s="23">
        <v>875</v>
      </c>
      <c r="K13" s="23">
        <f>Table1[[#This Row],[Cantitatea]]*Table1[[#This Row],[Pret unitar]]</f>
        <v>875</v>
      </c>
      <c r="L13" s="23">
        <f>Table1[[#This Row],[Valoare]]*Table1[[#This Row],[Cota 
TVA]]</f>
        <v>210</v>
      </c>
      <c r="M13" s="17">
        <v>41978</v>
      </c>
      <c r="N13" s="17"/>
      <c r="O13" s="7" t="str">
        <f>IF(Table1[[#This Row],[Data 
incasarii]]=0,"Neachitat","Achitat")</f>
        <v>Neachitat</v>
      </c>
    </row>
    <row r="14" spans="1:15" ht="14" x14ac:dyDescent="0.2">
      <c r="A14" s="14" t="s">
        <v>123</v>
      </c>
      <c r="B14" s="24">
        <v>1</v>
      </c>
      <c r="C14" s="24" t="str">
        <f>CONCATENATE(Table1[[#This Row],[Nr.]],"-",Table1[[#This Row],[Nr 
CRT]])</f>
        <v>0013-1</v>
      </c>
      <c r="D14" s="12">
        <v>41989</v>
      </c>
      <c r="E14" s="4" t="s">
        <v>107</v>
      </c>
      <c r="F14" s="4" t="s">
        <v>93</v>
      </c>
      <c r="G14" s="55">
        <v>0.24</v>
      </c>
      <c r="H14" s="4" t="s">
        <v>78</v>
      </c>
      <c r="I14" s="24">
        <v>1</v>
      </c>
      <c r="J14" s="23">
        <v>600</v>
      </c>
      <c r="K14" s="23">
        <f>Table1[[#This Row],[Cantitatea]]*Table1[[#This Row],[Pret unitar]]</f>
        <v>600</v>
      </c>
      <c r="L14" s="23">
        <f>Table1[[#This Row],[Valoare]]*Table1[[#This Row],[Cota 
TVA]]</f>
        <v>144</v>
      </c>
      <c r="M14" s="10">
        <v>41991</v>
      </c>
      <c r="N14" s="10"/>
      <c r="O14" s="7" t="str">
        <f>IF(Table1[[#This Row],[Data 
incasarii]]=0,"Neachitat","Achitat")</f>
        <v>Neachitat</v>
      </c>
    </row>
    <row r="15" spans="1:15" ht="14" x14ac:dyDescent="0.2">
      <c r="A15" s="6" t="s">
        <v>124</v>
      </c>
      <c r="B15" s="88">
        <v>2</v>
      </c>
      <c r="C15" s="88" t="str">
        <f>CONCATENATE(Table1[[#This Row],[Nr.]],"-",Table1[[#This Row],[Nr 
CRT]])</f>
        <v>0014-2</v>
      </c>
      <c r="D15" s="89">
        <v>41991</v>
      </c>
      <c r="E15" s="4" t="s">
        <v>107</v>
      </c>
      <c r="F15" s="90" t="s">
        <v>93</v>
      </c>
      <c r="G15" s="91">
        <v>0.24</v>
      </c>
      <c r="H15" s="92" t="s">
        <v>78</v>
      </c>
      <c r="I15" s="88">
        <v>7</v>
      </c>
      <c r="J15" s="92">
        <v>888</v>
      </c>
      <c r="K15" s="92">
        <f>Table1[[#This Row],[Cantitatea]]*Table1[[#This Row],[Pret unitar]]</f>
        <v>6216</v>
      </c>
      <c r="L15" s="92">
        <f>Table1[[#This Row],[Valoare]]*Table1[[#This Row],[Cota 
TVA]]</f>
        <v>1491.84</v>
      </c>
      <c r="M15" s="93">
        <v>42005</v>
      </c>
      <c r="N15" s="93"/>
      <c r="O15" s="90" t="str">
        <f>IF(Table1[[#This Row],[Data 
incasarii]]=0,"Neachitat","Achitat")</f>
        <v>Neachitat</v>
      </c>
    </row>
    <row r="16" spans="1:15" ht="14" x14ac:dyDescent="0.2">
      <c r="A16" s="87" t="s">
        <v>119</v>
      </c>
      <c r="B16" s="88">
        <v>3</v>
      </c>
      <c r="C16" s="88" t="str">
        <f>CONCATENATE(Table1[[#This Row],[Nr.]],"-",Table1[[#This Row],[Nr 
CRT]])</f>
        <v>0015-3</v>
      </c>
      <c r="D16" s="89">
        <v>41993</v>
      </c>
      <c r="E16" s="4" t="s">
        <v>107</v>
      </c>
      <c r="F16" s="90" t="s">
        <v>93</v>
      </c>
      <c r="G16" s="91">
        <v>0.24</v>
      </c>
      <c r="H16" s="92" t="s">
        <v>78</v>
      </c>
      <c r="I16" s="88">
        <v>2</v>
      </c>
      <c r="J16" s="92">
        <v>10000</v>
      </c>
      <c r="K16" s="92">
        <f>Table1[[#This Row],[Cantitatea]]*Table1[[#This Row],[Pret unitar]]</f>
        <v>20000</v>
      </c>
      <c r="L16" s="92">
        <f>Table1[[#This Row],[Valoare]]*Table1[[#This Row],[Cota 
TVA]]</f>
        <v>4800</v>
      </c>
      <c r="M16" s="93">
        <v>42036</v>
      </c>
      <c r="N16" s="93"/>
      <c r="O16" s="90" t="str">
        <f>IF(Table1[[#This Row],[Data 
incasarii]]=0,"Neachitat","Achitat")</f>
        <v>Neachitat</v>
      </c>
    </row>
    <row r="17" spans="1:15" ht="14" x14ac:dyDescent="0.2">
      <c r="A17" s="6" t="s">
        <v>125</v>
      </c>
      <c r="B17" s="88">
        <v>1</v>
      </c>
      <c r="C17" s="88" t="str">
        <f>CONCATENATE(Table1[[#This Row],[Nr.]],"-",Table1[[#This Row],[Nr 
CRT]])</f>
        <v>0016-1</v>
      </c>
      <c r="D17" s="89">
        <v>41993</v>
      </c>
      <c r="E17" s="4" t="s">
        <v>107</v>
      </c>
      <c r="F17" s="90" t="s">
        <v>93</v>
      </c>
      <c r="G17" s="91">
        <v>0.19</v>
      </c>
      <c r="H17" s="92" t="s">
        <v>78</v>
      </c>
      <c r="I17" s="88">
        <v>1</v>
      </c>
      <c r="J17" s="92">
        <v>3000</v>
      </c>
      <c r="K17" s="92">
        <f>Table1[[#This Row],[Cantitatea]]*Table1[[#This Row],[Pret unitar]]</f>
        <v>3000</v>
      </c>
      <c r="L17" s="92">
        <f>Table1[[#This Row],[Valoare]]*Table1[[#This Row],[Cota 
TVA]]</f>
        <v>570</v>
      </c>
      <c r="M17" s="93">
        <v>42036</v>
      </c>
      <c r="N17" s="93"/>
      <c r="O17" s="90" t="str">
        <f>IF(Table1[[#This Row],[Data 
incasarii]]=0,"Neachitat","Achitat")</f>
        <v>Neachitat</v>
      </c>
    </row>
    <row r="18" spans="1:15" ht="14" x14ac:dyDescent="0.2">
      <c r="A18" s="6"/>
      <c r="B18" s="20"/>
      <c r="C18" s="20"/>
      <c r="D18" s="12"/>
      <c r="E18" s="4"/>
      <c r="F18" s="4"/>
      <c r="G18" s="55"/>
      <c r="H18" s="4"/>
      <c r="I18" s="20"/>
      <c r="J18" s="7"/>
      <c r="K18" s="7"/>
      <c r="L18" s="7"/>
    </row>
    <row r="19" spans="1:15" ht="14" x14ac:dyDescent="0.2">
      <c r="A19" s="6"/>
      <c r="B19" s="20"/>
      <c r="C19" s="20"/>
      <c r="D19" s="12"/>
      <c r="E19" s="4"/>
      <c r="F19" s="4"/>
      <c r="G19" s="55"/>
      <c r="H19" s="4"/>
      <c r="I19" s="20"/>
      <c r="J19" s="7"/>
      <c r="K19" s="7"/>
      <c r="L19" s="7"/>
    </row>
    <row r="20" spans="1:15" ht="14" x14ac:dyDescent="0.2">
      <c r="A20" s="6"/>
      <c r="B20" s="20"/>
      <c r="C20" s="20"/>
      <c r="D20" s="12"/>
      <c r="E20" s="4"/>
      <c r="F20" s="4"/>
      <c r="G20" s="55"/>
      <c r="H20" s="4"/>
      <c r="I20" s="20"/>
      <c r="J20" s="7"/>
      <c r="K20" s="7"/>
      <c r="L20" s="7"/>
    </row>
    <row r="21" spans="1:15" ht="14" x14ac:dyDescent="0.2">
      <c r="A21" s="6"/>
      <c r="B21" s="20"/>
      <c r="C21" s="20"/>
      <c r="D21" s="12"/>
      <c r="E21" s="4"/>
      <c r="F21" s="4"/>
      <c r="G21" s="55"/>
      <c r="H21" s="4"/>
      <c r="I21" s="20"/>
      <c r="J21" s="7"/>
      <c r="K21" s="7"/>
      <c r="L21" s="7"/>
    </row>
    <row r="22" spans="1:15" ht="14" x14ac:dyDescent="0.2">
      <c r="A22" s="6"/>
      <c r="B22" s="20"/>
      <c r="C22" s="20"/>
      <c r="D22" s="12"/>
      <c r="E22" s="4"/>
      <c r="F22" s="4"/>
      <c r="G22" s="55"/>
      <c r="H22" s="4"/>
      <c r="I22" s="20"/>
      <c r="J22" s="7"/>
      <c r="K22" s="7"/>
      <c r="L22" s="7"/>
    </row>
    <row r="23" spans="1:15" ht="14" x14ac:dyDescent="0.2">
      <c r="A23" s="6"/>
      <c r="B23" s="20"/>
      <c r="C23" s="20"/>
      <c r="D23" s="12"/>
      <c r="E23" s="4"/>
      <c r="F23" s="4"/>
      <c r="G23" s="55"/>
      <c r="H23" s="4"/>
      <c r="I23" s="20"/>
      <c r="J23" s="7"/>
      <c r="K23" s="7"/>
      <c r="L23" s="7"/>
    </row>
    <row r="24" spans="1:15" ht="14" x14ac:dyDescent="0.2">
      <c r="A24" s="6"/>
      <c r="B24" s="20"/>
      <c r="C24" s="20"/>
      <c r="D24" s="12"/>
      <c r="E24" s="4"/>
      <c r="F24" s="4"/>
      <c r="G24" s="55"/>
      <c r="H24" s="4"/>
      <c r="I24" s="20"/>
      <c r="J24" s="7"/>
      <c r="K24" s="7"/>
      <c r="L24" s="7"/>
    </row>
    <row r="25" spans="1:15" ht="14" x14ac:dyDescent="0.2">
      <c r="A25" s="6"/>
      <c r="B25" s="20"/>
      <c r="C25" s="20"/>
      <c r="D25" s="12"/>
      <c r="E25" s="4"/>
      <c r="F25" s="4"/>
      <c r="G25" s="55"/>
      <c r="H25" s="4"/>
      <c r="I25" s="20"/>
      <c r="J25" s="7"/>
      <c r="K25" s="7"/>
      <c r="L25" s="7"/>
    </row>
    <row r="26" spans="1:15" ht="14" x14ac:dyDescent="0.2">
      <c r="A26" s="6"/>
      <c r="B26" s="20"/>
      <c r="C26" s="20"/>
      <c r="D26" s="12"/>
      <c r="E26" s="4"/>
      <c r="F26" s="4"/>
      <c r="G26" s="55"/>
      <c r="H26" s="4"/>
      <c r="I26" s="20"/>
      <c r="J26" s="7"/>
      <c r="K26" s="7"/>
      <c r="L26" s="7"/>
    </row>
    <row r="27" spans="1:15" ht="14" x14ac:dyDescent="0.2">
      <c r="A27" s="6"/>
      <c r="B27" s="20"/>
      <c r="C27" s="20"/>
      <c r="D27" s="12"/>
      <c r="E27" s="4"/>
      <c r="F27" s="4"/>
      <c r="G27" s="55"/>
      <c r="H27" s="4"/>
      <c r="I27" s="20"/>
      <c r="J27" s="7"/>
      <c r="K27" s="7"/>
      <c r="L27" s="7"/>
    </row>
    <row r="28" spans="1:15" ht="14" x14ac:dyDescent="0.2">
      <c r="A28" s="6"/>
      <c r="B28" s="20"/>
      <c r="C28" s="20"/>
      <c r="D28" s="12"/>
      <c r="E28" s="4"/>
      <c r="F28" s="4"/>
      <c r="G28" s="55"/>
      <c r="H28" s="4"/>
      <c r="I28" s="20"/>
      <c r="J28" s="7"/>
      <c r="K28" s="7"/>
      <c r="L28" s="7"/>
    </row>
    <row r="29" spans="1:15" ht="14" x14ac:dyDescent="0.2">
      <c r="A29" s="6"/>
      <c r="B29" s="20"/>
      <c r="C29" s="20"/>
      <c r="D29" s="12"/>
      <c r="E29" s="4"/>
      <c r="F29" s="4"/>
      <c r="G29" s="55"/>
      <c r="H29" s="4"/>
      <c r="I29" s="20"/>
      <c r="J29" s="7"/>
      <c r="K29" s="7"/>
      <c r="L29" s="7"/>
    </row>
    <row r="30" spans="1:15" ht="14" x14ac:dyDescent="0.2">
      <c r="A30" s="6"/>
      <c r="B30" s="20"/>
      <c r="C30" s="20"/>
      <c r="D30" s="12"/>
      <c r="E30" s="4"/>
      <c r="F30" s="4"/>
      <c r="G30" s="55"/>
      <c r="H30" s="4"/>
      <c r="I30" s="20"/>
      <c r="J30" s="7"/>
      <c r="K30" s="7"/>
      <c r="L30" s="7"/>
    </row>
    <row r="31" spans="1:15" ht="14" x14ac:dyDescent="0.2">
      <c r="A31" s="6"/>
      <c r="B31" s="20"/>
      <c r="C31" s="20"/>
      <c r="D31" s="12"/>
      <c r="E31" s="4"/>
      <c r="F31" s="4"/>
      <c r="G31" s="55"/>
      <c r="H31" s="4"/>
      <c r="I31" s="20"/>
      <c r="J31" s="7"/>
      <c r="K31" s="7"/>
      <c r="L31" s="7"/>
    </row>
    <row r="32" spans="1:15" ht="14" x14ac:dyDescent="0.2">
      <c r="A32" s="6"/>
      <c r="B32" s="20"/>
      <c r="C32" s="20"/>
      <c r="D32" s="12"/>
      <c r="E32" s="4"/>
      <c r="F32" s="4"/>
      <c r="G32" s="55"/>
      <c r="H32" s="4"/>
      <c r="I32" s="20"/>
      <c r="J32" s="7"/>
      <c r="K32" s="7"/>
      <c r="L32" s="7"/>
    </row>
    <row r="33" spans="1:12" ht="14" x14ac:dyDescent="0.2">
      <c r="A33" s="6"/>
      <c r="B33" s="20"/>
      <c r="C33" s="20"/>
      <c r="D33" s="12"/>
      <c r="E33" s="4"/>
      <c r="F33" s="4"/>
      <c r="G33" s="55"/>
      <c r="H33" s="4"/>
      <c r="I33" s="20"/>
      <c r="J33" s="7"/>
      <c r="K33" s="7"/>
      <c r="L33" s="7"/>
    </row>
    <row r="34" spans="1:12" ht="14" x14ac:dyDescent="0.2">
      <c r="A34" s="6"/>
      <c r="B34" s="20"/>
      <c r="C34" s="20"/>
      <c r="D34" s="12"/>
      <c r="E34" s="4"/>
      <c r="F34" s="4"/>
      <c r="G34" s="55"/>
      <c r="H34" s="4"/>
      <c r="I34" s="20"/>
      <c r="J34" s="7"/>
      <c r="K34" s="7"/>
      <c r="L34" s="7"/>
    </row>
    <row r="35" spans="1:12" ht="14" x14ac:dyDescent="0.2">
      <c r="A35" s="6"/>
      <c r="B35" s="20"/>
      <c r="C35" s="20"/>
      <c r="D35" s="12"/>
      <c r="E35" s="4"/>
      <c r="F35" s="4"/>
      <c r="G35" s="55"/>
      <c r="H35" s="4"/>
      <c r="I35" s="20"/>
      <c r="J35" s="7"/>
      <c r="K35" s="7"/>
      <c r="L35" s="7"/>
    </row>
    <row r="36" spans="1:12" ht="14" x14ac:dyDescent="0.2">
      <c r="A36" s="6"/>
      <c r="B36" s="20"/>
      <c r="C36" s="20"/>
      <c r="D36" s="12"/>
      <c r="E36" s="4"/>
      <c r="F36" s="4"/>
      <c r="G36" s="55"/>
      <c r="H36" s="4"/>
      <c r="I36" s="20"/>
      <c r="J36" s="7"/>
      <c r="K36" s="7"/>
      <c r="L36" s="7"/>
    </row>
    <row r="37" spans="1:12" ht="14" x14ac:dyDescent="0.2">
      <c r="A37" s="6"/>
      <c r="B37" s="20"/>
      <c r="C37" s="20"/>
      <c r="D37" s="12"/>
      <c r="E37" s="4"/>
      <c r="F37" s="4"/>
      <c r="G37" s="55"/>
      <c r="H37" s="4"/>
      <c r="I37" s="20"/>
      <c r="J37" s="7"/>
      <c r="K37" s="7"/>
      <c r="L37" s="7"/>
    </row>
    <row r="38" spans="1:12" ht="14" x14ac:dyDescent="0.2">
      <c r="A38" s="6"/>
      <c r="B38" s="20"/>
      <c r="C38" s="20"/>
      <c r="D38" s="12"/>
      <c r="E38" s="4"/>
      <c r="F38" s="4"/>
      <c r="G38" s="55"/>
      <c r="H38" s="4"/>
      <c r="I38" s="20"/>
      <c r="J38" s="7"/>
      <c r="K38" s="7"/>
      <c r="L38" s="7"/>
    </row>
    <row r="39" spans="1:12" ht="14" x14ac:dyDescent="0.2">
      <c r="A39" s="6"/>
      <c r="B39" s="20"/>
      <c r="C39" s="20"/>
      <c r="D39" s="12"/>
      <c r="E39" s="4"/>
      <c r="F39" s="4"/>
      <c r="G39" s="55"/>
      <c r="H39" s="4"/>
      <c r="I39" s="20"/>
      <c r="J39" s="7"/>
      <c r="K39" s="7"/>
      <c r="L39" s="7"/>
    </row>
    <row r="40" spans="1:12" ht="14" x14ac:dyDescent="0.2">
      <c r="A40" s="6"/>
      <c r="B40" s="20"/>
      <c r="C40" s="20"/>
      <c r="D40" s="12"/>
      <c r="E40" s="4"/>
      <c r="F40" s="4"/>
      <c r="G40" s="55"/>
      <c r="H40" s="4"/>
      <c r="I40" s="20"/>
      <c r="J40" s="7"/>
      <c r="K40" s="7"/>
      <c r="L40" s="7"/>
    </row>
    <row r="41" spans="1:12" ht="14" x14ac:dyDescent="0.2">
      <c r="A41" s="6"/>
      <c r="B41" s="20"/>
      <c r="C41" s="20"/>
      <c r="D41" s="12"/>
      <c r="E41" s="4"/>
      <c r="F41" s="4"/>
      <c r="G41" s="55"/>
      <c r="H41" s="4"/>
      <c r="I41" s="20"/>
      <c r="J41" s="7"/>
      <c r="K41" s="7"/>
      <c r="L41" s="7"/>
    </row>
    <row r="42" spans="1:12" ht="14" x14ac:dyDescent="0.2">
      <c r="A42" s="6"/>
      <c r="B42" s="20"/>
      <c r="C42" s="20"/>
      <c r="D42" s="12"/>
      <c r="E42" s="4"/>
      <c r="F42" s="4"/>
      <c r="G42" s="55"/>
      <c r="H42" s="4"/>
      <c r="I42" s="20"/>
      <c r="J42" s="7"/>
      <c r="K42" s="7"/>
      <c r="L42" s="7"/>
    </row>
    <row r="43" spans="1:12" ht="14" x14ac:dyDescent="0.2">
      <c r="A43" s="6"/>
      <c r="B43" s="20"/>
      <c r="C43" s="20"/>
      <c r="D43" s="12"/>
      <c r="E43" s="4"/>
      <c r="F43" s="4"/>
      <c r="G43" s="55"/>
      <c r="H43" s="4"/>
      <c r="I43" s="20"/>
      <c r="J43" s="7"/>
      <c r="K43" s="7"/>
      <c r="L43" s="7"/>
    </row>
    <row r="44" spans="1:12" ht="14" x14ac:dyDescent="0.2">
      <c r="A44" s="6"/>
      <c r="B44" s="20"/>
      <c r="C44" s="20"/>
      <c r="D44" s="12"/>
      <c r="E44" s="4"/>
      <c r="F44" s="4"/>
      <c r="G44" s="55"/>
      <c r="H44" s="4"/>
      <c r="I44" s="20"/>
      <c r="J44" s="7"/>
      <c r="K44" s="7"/>
      <c r="L44" s="7"/>
    </row>
    <row r="45" spans="1:12" ht="14" x14ac:dyDescent="0.2">
      <c r="A45" s="6"/>
      <c r="B45" s="20"/>
      <c r="C45" s="20"/>
      <c r="D45" s="12"/>
      <c r="E45" s="4"/>
      <c r="F45" s="4"/>
      <c r="G45" s="55"/>
      <c r="H45" s="4"/>
      <c r="I45" s="20"/>
      <c r="J45" s="7"/>
      <c r="K45" s="7"/>
      <c r="L45" s="7"/>
    </row>
    <row r="46" spans="1:12" ht="14" x14ac:dyDescent="0.2">
      <c r="A46" s="6"/>
      <c r="B46" s="20"/>
      <c r="C46" s="20"/>
      <c r="D46" s="12"/>
      <c r="E46" s="4"/>
      <c r="F46" s="4"/>
      <c r="G46" s="55"/>
      <c r="H46" s="4"/>
      <c r="I46" s="20"/>
      <c r="J46" s="7"/>
      <c r="K46" s="7"/>
      <c r="L46" s="7"/>
    </row>
    <row r="47" spans="1:12" ht="14" x14ac:dyDescent="0.2">
      <c r="A47" s="6"/>
      <c r="B47" s="20"/>
      <c r="C47" s="20"/>
      <c r="D47" s="12"/>
      <c r="E47" s="4"/>
      <c r="F47" s="4"/>
      <c r="G47" s="55"/>
      <c r="H47" s="4"/>
      <c r="I47" s="20"/>
      <c r="J47" s="7"/>
      <c r="K47" s="7"/>
      <c r="L47" s="7"/>
    </row>
    <row r="48" spans="1:12" ht="14" x14ac:dyDescent="0.2">
      <c r="A48" s="6"/>
      <c r="B48" s="20"/>
      <c r="C48" s="20"/>
      <c r="D48" s="12"/>
      <c r="E48" s="4"/>
      <c r="F48" s="4"/>
      <c r="G48" s="55"/>
      <c r="H48" s="4"/>
      <c r="I48" s="20"/>
      <c r="J48" s="7"/>
      <c r="K48" s="7"/>
      <c r="L48" s="7"/>
    </row>
    <row r="49" spans="1:12" ht="14" x14ac:dyDescent="0.2">
      <c r="A49" s="6"/>
      <c r="B49" s="20"/>
      <c r="C49" s="20"/>
      <c r="D49" s="12"/>
      <c r="E49" s="4"/>
      <c r="F49" s="4"/>
      <c r="G49" s="55"/>
      <c r="H49" s="4"/>
      <c r="I49" s="20"/>
      <c r="J49" s="7"/>
      <c r="K49" s="7"/>
      <c r="L49" s="7"/>
    </row>
    <row r="50" spans="1:12" ht="14" x14ac:dyDescent="0.2">
      <c r="A50" s="6"/>
      <c r="B50" s="20"/>
      <c r="C50" s="20"/>
      <c r="D50" s="12"/>
      <c r="E50" s="4"/>
      <c r="F50" s="4"/>
      <c r="G50" s="55"/>
      <c r="H50" s="4"/>
      <c r="I50" s="20"/>
      <c r="J50" s="7"/>
      <c r="K50" s="7"/>
      <c r="L50" s="7"/>
    </row>
    <row r="51" spans="1:12" ht="14" x14ac:dyDescent="0.2">
      <c r="A51" s="6"/>
      <c r="B51" s="20"/>
      <c r="C51" s="20"/>
      <c r="D51" s="12"/>
      <c r="E51" s="4"/>
      <c r="F51" s="4"/>
      <c r="G51" s="55"/>
      <c r="H51" s="4"/>
      <c r="I51" s="20"/>
      <c r="J51" s="7"/>
      <c r="K51" s="7"/>
      <c r="L51" s="7"/>
    </row>
    <row r="52" spans="1:12" ht="14" x14ac:dyDescent="0.2">
      <c r="A52" s="6"/>
      <c r="B52" s="20"/>
      <c r="C52" s="20"/>
      <c r="D52" s="12"/>
      <c r="E52" s="4"/>
      <c r="F52" s="4"/>
      <c r="G52" s="55"/>
      <c r="H52" s="4"/>
      <c r="I52" s="20"/>
      <c r="J52" s="7"/>
      <c r="K52" s="7"/>
      <c r="L52" s="7"/>
    </row>
    <row r="53" spans="1:12" ht="14" x14ac:dyDescent="0.2">
      <c r="A53" s="6"/>
      <c r="B53" s="20"/>
      <c r="C53" s="20"/>
      <c r="D53" s="12"/>
      <c r="E53" s="4"/>
      <c r="F53" s="4"/>
      <c r="G53" s="55"/>
      <c r="H53" s="4"/>
      <c r="I53" s="20"/>
      <c r="J53" s="7"/>
      <c r="K53" s="7"/>
      <c r="L53" s="7"/>
    </row>
    <row r="54" spans="1:12" ht="14" x14ac:dyDescent="0.2">
      <c r="A54" s="6"/>
      <c r="B54" s="20"/>
      <c r="C54" s="20"/>
      <c r="D54" s="12"/>
      <c r="E54" s="4"/>
      <c r="F54" s="4"/>
      <c r="G54" s="55"/>
      <c r="H54" s="4"/>
      <c r="I54" s="20"/>
      <c r="J54" s="7"/>
      <c r="K54" s="7"/>
      <c r="L54" s="7"/>
    </row>
    <row r="55" spans="1:12" ht="14" x14ac:dyDescent="0.2">
      <c r="A55" s="6"/>
      <c r="B55" s="20"/>
      <c r="C55" s="20"/>
      <c r="D55" s="12"/>
      <c r="E55" s="4"/>
      <c r="F55" s="4"/>
      <c r="G55" s="55"/>
      <c r="H55" s="4"/>
      <c r="I55" s="20"/>
      <c r="J55" s="7"/>
      <c r="K55" s="7"/>
      <c r="L55" s="7"/>
    </row>
    <row r="56" spans="1:12" ht="14" x14ac:dyDescent="0.2">
      <c r="A56" s="6"/>
      <c r="B56" s="20"/>
      <c r="C56" s="20"/>
      <c r="D56" s="12"/>
      <c r="E56" s="4"/>
      <c r="F56" s="4"/>
      <c r="G56" s="55"/>
      <c r="H56" s="4"/>
      <c r="I56" s="20"/>
      <c r="J56" s="7"/>
      <c r="K56" s="7"/>
      <c r="L56" s="7"/>
    </row>
    <row r="57" spans="1:12" ht="14" x14ac:dyDescent="0.2">
      <c r="A57" s="6"/>
      <c r="B57" s="20"/>
      <c r="C57" s="20"/>
      <c r="D57" s="12"/>
      <c r="E57" s="4"/>
      <c r="F57" s="4"/>
      <c r="G57" s="55"/>
      <c r="H57" s="4"/>
      <c r="I57" s="20"/>
      <c r="J57" s="7"/>
      <c r="K57" s="7"/>
      <c r="L57" s="7"/>
    </row>
    <row r="58" spans="1:12" ht="14" x14ac:dyDescent="0.2">
      <c r="A58" s="6"/>
      <c r="B58" s="20"/>
      <c r="C58" s="20"/>
      <c r="D58" s="12"/>
      <c r="E58" s="4"/>
      <c r="F58" s="4"/>
      <c r="G58" s="55"/>
      <c r="H58" s="4"/>
      <c r="I58" s="20"/>
      <c r="J58" s="7"/>
      <c r="K58" s="7"/>
      <c r="L58" s="7"/>
    </row>
    <row r="59" spans="1:12" ht="14" x14ac:dyDescent="0.2">
      <c r="A59" s="6"/>
      <c r="B59" s="20"/>
      <c r="C59" s="20"/>
      <c r="D59" s="12"/>
      <c r="E59" s="4"/>
      <c r="F59" s="4"/>
      <c r="G59" s="55"/>
      <c r="H59" s="4"/>
      <c r="I59" s="20"/>
      <c r="J59" s="7"/>
      <c r="K59" s="7"/>
      <c r="L59" s="7"/>
    </row>
    <row r="60" spans="1:12" ht="14" x14ac:dyDescent="0.2">
      <c r="A60" s="6"/>
      <c r="B60" s="20"/>
      <c r="C60" s="20"/>
      <c r="D60" s="12"/>
      <c r="E60" s="4"/>
      <c r="F60" s="4"/>
      <c r="G60" s="55"/>
      <c r="H60" s="4"/>
      <c r="I60" s="20"/>
      <c r="J60" s="7"/>
      <c r="K60" s="7"/>
      <c r="L60" s="7"/>
    </row>
    <row r="61" spans="1:12" ht="14" x14ac:dyDescent="0.2">
      <c r="A61" s="6"/>
      <c r="B61" s="20"/>
      <c r="C61" s="20"/>
      <c r="D61" s="12"/>
      <c r="E61" s="4"/>
      <c r="F61" s="4"/>
      <c r="G61" s="55"/>
      <c r="H61" s="4"/>
      <c r="I61" s="20"/>
      <c r="J61" s="7"/>
      <c r="K61" s="7"/>
      <c r="L61" s="7"/>
    </row>
    <row r="62" spans="1:12" ht="14" x14ac:dyDescent="0.2">
      <c r="A62" s="6"/>
      <c r="B62" s="20"/>
      <c r="C62" s="20"/>
      <c r="D62" s="12"/>
      <c r="E62" s="4"/>
      <c r="F62" s="4"/>
      <c r="G62" s="55"/>
      <c r="H62" s="4"/>
      <c r="I62" s="20"/>
      <c r="J62" s="7"/>
      <c r="K62" s="7"/>
      <c r="L62" s="7"/>
    </row>
    <row r="63" spans="1:12" ht="14" x14ac:dyDescent="0.2">
      <c r="A63" s="6"/>
      <c r="B63" s="20"/>
      <c r="C63" s="20"/>
      <c r="D63" s="12"/>
      <c r="E63" s="4"/>
      <c r="F63" s="4"/>
      <c r="G63" s="55"/>
      <c r="H63" s="4"/>
      <c r="I63" s="20"/>
      <c r="J63" s="7"/>
      <c r="K63" s="7"/>
      <c r="L63" s="7"/>
    </row>
  </sheetData>
  <pageMargins left="0.7" right="0.7" top="0.75" bottom="0.75" header="0.3" footer="0.3"/>
  <pageSetup orientation="portrait" r:id="rId1"/>
  <ignoredErrors>
    <ignoredError sqref="A2:A11 A12:A13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Clienti!$A:$A</xm:f>
          </x14:formula1>
          <xm:sqref>F1:F1048576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>
      <pane ySplit="1" topLeftCell="A2" activePane="bottomLeft" state="frozen"/>
      <selection pane="bottomLeft" activeCell="D6" sqref="D6"/>
    </sheetView>
  </sheetViews>
  <sheetFormatPr baseColWidth="10" defaultColWidth="17.1640625" defaultRowHeight="14" x14ac:dyDescent="0.15"/>
  <cols>
    <col min="1" max="1" width="32.1640625" style="4" customWidth="1"/>
    <col min="2" max="2" width="12.5" style="4" customWidth="1"/>
    <col min="3" max="3" width="14.1640625" style="4" customWidth="1"/>
    <col min="4" max="4" width="54.6640625" style="4" customWidth="1"/>
    <col min="5" max="5" width="29.1640625" style="4" customWidth="1"/>
    <col min="6" max="6" width="19.6640625" style="4" customWidth="1"/>
    <col min="7" max="16384" width="17.1640625" style="4"/>
  </cols>
  <sheetData>
    <row r="1" spans="1:6" x14ac:dyDescent="0.15">
      <c r="A1" s="4" t="s">
        <v>14</v>
      </c>
      <c r="B1" s="4" t="s">
        <v>15</v>
      </c>
      <c r="C1" s="4" t="s">
        <v>28</v>
      </c>
      <c r="D1" s="4" t="s">
        <v>16</v>
      </c>
      <c r="E1" s="4" t="s">
        <v>17</v>
      </c>
      <c r="F1" s="4" t="s">
        <v>18</v>
      </c>
    </row>
    <row r="2" spans="1:6" x14ac:dyDescent="0.15">
      <c r="A2" s="4" t="s">
        <v>88</v>
      </c>
      <c r="B2" s="4" t="s">
        <v>100</v>
      </c>
      <c r="C2" s="4" t="s">
        <v>101</v>
      </c>
      <c r="D2" s="4" t="s">
        <v>102</v>
      </c>
      <c r="E2" s="4" t="s">
        <v>103</v>
      </c>
      <c r="F2" s="4" t="s">
        <v>104</v>
      </c>
    </row>
    <row r="3" spans="1:6" x14ac:dyDescent="0.15">
      <c r="A3" s="4" t="s">
        <v>89</v>
      </c>
      <c r="B3" s="4" t="s">
        <v>100</v>
      </c>
      <c r="C3" s="4" t="s">
        <v>101</v>
      </c>
      <c r="D3" s="4" t="s">
        <v>102</v>
      </c>
      <c r="E3" s="4" t="s">
        <v>103</v>
      </c>
      <c r="F3" s="4" t="s">
        <v>104</v>
      </c>
    </row>
    <row r="4" spans="1:6" x14ac:dyDescent="0.15">
      <c r="A4" s="4" t="s">
        <v>90</v>
      </c>
      <c r="B4" s="4" t="s">
        <v>100</v>
      </c>
      <c r="C4" s="4" t="s">
        <v>101</v>
      </c>
      <c r="D4" s="4" t="s">
        <v>102</v>
      </c>
      <c r="E4" s="4" t="s">
        <v>103</v>
      </c>
      <c r="F4" s="4" t="s">
        <v>104</v>
      </c>
    </row>
    <row r="5" spans="1:6" x14ac:dyDescent="0.15">
      <c r="A5" s="4" t="s">
        <v>91</v>
      </c>
      <c r="B5" s="4" t="s">
        <v>100</v>
      </c>
      <c r="C5" s="4" t="s">
        <v>101</v>
      </c>
      <c r="D5" s="4" t="s">
        <v>102</v>
      </c>
      <c r="E5" s="4" t="s">
        <v>103</v>
      </c>
      <c r="F5" s="4" t="s">
        <v>104</v>
      </c>
    </row>
    <row r="6" spans="1:6" x14ac:dyDescent="0.15">
      <c r="A6" s="4" t="s">
        <v>92</v>
      </c>
      <c r="B6" s="4" t="s">
        <v>100</v>
      </c>
      <c r="C6" s="4" t="s">
        <v>101</v>
      </c>
      <c r="D6" s="4" t="s">
        <v>102</v>
      </c>
      <c r="E6" s="4" t="s">
        <v>103</v>
      </c>
      <c r="F6" s="4" t="s">
        <v>104</v>
      </c>
    </row>
    <row r="7" spans="1:6" x14ac:dyDescent="0.15">
      <c r="A7" s="4" t="s">
        <v>93</v>
      </c>
      <c r="B7" s="4" t="s">
        <v>100</v>
      </c>
      <c r="C7" s="4" t="s">
        <v>101</v>
      </c>
      <c r="D7" s="4" t="s">
        <v>102</v>
      </c>
      <c r="E7" s="4" t="s">
        <v>103</v>
      </c>
      <c r="F7" s="4" t="s">
        <v>104</v>
      </c>
    </row>
    <row r="8" spans="1:6" x14ac:dyDescent="0.15">
      <c r="A8" s="4" t="s">
        <v>94</v>
      </c>
      <c r="B8" s="4" t="s">
        <v>100</v>
      </c>
      <c r="C8" s="4" t="s">
        <v>101</v>
      </c>
      <c r="D8" s="4" t="s">
        <v>102</v>
      </c>
      <c r="E8" s="4" t="s">
        <v>103</v>
      </c>
      <c r="F8" s="4" t="s">
        <v>104</v>
      </c>
    </row>
    <row r="9" spans="1:6" x14ac:dyDescent="0.15">
      <c r="A9" s="4" t="s">
        <v>95</v>
      </c>
      <c r="B9" s="4" t="s">
        <v>100</v>
      </c>
      <c r="C9" s="4" t="s">
        <v>101</v>
      </c>
      <c r="D9" s="4" t="s">
        <v>102</v>
      </c>
      <c r="E9" s="4" t="s">
        <v>103</v>
      </c>
      <c r="F9" s="4" t="s">
        <v>104</v>
      </c>
    </row>
    <row r="10" spans="1:6" x14ac:dyDescent="0.15">
      <c r="A10" s="4" t="s">
        <v>96</v>
      </c>
      <c r="B10" s="4" t="s">
        <v>100</v>
      </c>
      <c r="C10" s="4" t="s">
        <v>101</v>
      </c>
      <c r="D10" s="4" t="s">
        <v>102</v>
      </c>
      <c r="E10" s="4" t="s">
        <v>103</v>
      </c>
      <c r="F10" s="4" t="s">
        <v>104</v>
      </c>
    </row>
    <row r="11" spans="1:6" x14ac:dyDescent="0.15">
      <c r="A11" s="4" t="s">
        <v>97</v>
      </c>
      <c r="B11" s="4" t="s">
        <v>100</v>
      </c>
      <c r="C11" s="4" t="s">
        <v>101</v>
      </c>
      <c r="D11" s="4" t="s">
        <v>102</v>
      </c>
      <c r="E11" s="4" t="s">
        <v>103</v>
      </c>
      <c r="F11" s="4" t="s">
        <v>104</v>
      </c>
    </row>
    <row r="12" spans="1:6" x14ac:dyDescent="0.15">
      <c r="A12" s="4" t="s">
        <v>98</v>
      </c>
      <c r="B12" s="4" t="s">
        <v>100</v>
      </c>
      <c r="C12" s="4" t="s">
        <v>101</v>
      </c>
      <c r="D12" s="4" t="s">
        <v>102</v>
      </c>
      <c r="E12" s="4" t="s">
        <v>103</v>
      </c>
      <c r="F12" s="4" t="s">
        <v>104</v>
      </c>
    </row>
    <row r="13" spans="1:6" x14ac:dyDescent="0.15">
      <c r="A13" s="4" t="s">
        <v>99</v>
      </c>
      <c r="B13" s="4" t="s">
        <v>100</v>
      </c>
      <c r="C13" s="4" t="s">
        <v>101</v>
      </c>
      <c r="D13" s="4" t="s">
        <v>102</v>
      </c>
      <c r="E13" s="4" t="s">
        <v>103</v>
      </c>
      <c r="F13" s="4" t="s">
        <v>104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workbookViewId="0">
      <selection activeCell="I22" sqref="I22"/>
    </sheetView>
  </sheetViews>
  <sheetFormatPr baseColWidth="10" defaultColWidth="8.83203125" defaultRowHeight="14" x14ac:dyDescent="0.2"/>
  <cols>
    <col min="1" max="1" width="12" style="1" bestFit="1" customWidth="1"/>
    <col min="2" max="2" width="8.83203125" style="1" customWidth="1"/>
    <col min="3" max="16384" width="8.83203125" style="1"/>
  </cols>
  <sheetData>
    <row r="1" spans="1:2" x14ac:dyDescent="0.2">
      <c r="A1" s="82" t="s">
        <v>23</v>
      </c>
      <c r="B1" s="83" t="s">
        <v>36</v>
      </c>
    </row>
    <row r="2" spans="1:2" x14ac:dyDescent="0.2">
      <c r="A2"/>
    </row>
    <row r="3" spans="1:2" ht="28" x14ac:dyDescent="0.2">
      <c r="A3" s="82" t="s">
        <v>33</v>
      </c>
      <c r="B3" s="83" t="s">
        <v>109</v>
      </c>
    </row>
    <row r="4" spans="1:2" x14ac:dyDescent="0.2">
      <c r="A4" s="84" t="s">
        <v>75</v>
      </c>
      <c r="B4" s="85"/>
    </row>
    <row r="5" spans="1:2" x14ac:dyDescent="0.2">
      <c r="A5" s="86" t="s">
        <v>70</v>
      </c>
      <c r="B5" s="85">
        <v>580</v>
      </c>
    </row>
    <row r="6" spans="1:2" x14ac:dyDescent="0.2">
      <c r="A6" s="86" t="s">
        <v>71</v>
      </c>
      <c r="B6" s="85">
        <v>1292</v>
      </c>
    </row>
    <row r="7" spans="1:2" x14ac:dyDescent="0.2">
      <c r="A7" s="86" t="s">
        <v>72</v>
      </c>
      <c r="B7" s="85">
        <v>2450</v>
      </c>
    </row>
    <row r="8" spans="1:2" x14ac:dyDescent="0.2">
      <c r="A8" s="86" t="s">
        <v>73</v>
      </c>
      <c r="B8" s="85">
        <v>4155</v>
      </c>
    </row>
    <row r="9" spans="1:2" x14ac:dyDescent="0.2">
      <c r="A9" s="86" t="s">
        <v>74</v>
      </c>
      <c r="B9" s="85">
        <v>5000</v>
      </c>
    </row>
    <row r="10" spans="1:2" x14ac:dyDescent="0.2">
      <c r="A10" s="84" t="s">
        <v>34</v>
      </c>
      <c r="B10" s="85">
        <v>13477</v>
      </c>
    </row>
    <row r="11" spans="1:2" x14ac:dyDescent="0.2">
      <c r="A11"/>
      <c r="B11"/>
    </row>
    <row r="12" spans="1:2" x14ac:dyDescent="0.2">
      <c r="A12"/>
      <c r="B12"/>
    </row>
    <row r="13" spans="1:2" x14ac:dyDescent="0.2">
      <c r="A13"/>
      <c r="B13"/>
    </row>
    <row r="14" spans="1:2" x14ac:dyDescent="0.2">
      <c r="A14"/>
      <c r="B14"/>
    </row>
    <row r="15" spans="1:2" x14ac:dyDescent="0.2">
      <c r="A15"/>
    </row>
  </sheetData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GridLines="0" workbookViewId="0">
      <selection activeCell="B6" sqref="B6"/>
    </sheetView>
  </sheetViews>
  <sheetFormatPr baseColWidth="10" defaultColWidth="8.83203125" defaultRowHeight="14" x14ac:dyDescent="0.2"/>
  <cols>
    <col min="1" max="1" width="12" style="1" bestFit="1" customWidth="1"/>
    <col min="2" max="2" width="16" style="1" customWidth="1"/>
    <col min="3" max="16384" width="8.83203125" style="1"/>
  </cols>
  <sheetData>
    <row r="1" spans="1:2" x14ac:dyDescent="0.2">
      <c r="A1" s="82" t="s">
        <v>23</v>
      </c>
      <c r="B1" s="83" t="s">
        <v>111</v>
      </c>
    </row>
    <row r="2" spans="1:2" x14ac:dyDescent="0.2">
      <c r="A2"/>
      <c r="B2"/>
    </row>
    <row r="3" spans="1:2" x14ac:dyDescent="0.2">
      <c r="A3" s="82" t="s">
        <v>33</v>
      </c>
      <c r="B3" s="83" t="s">
        <v>110</v>
      </c>
    </row>
    <row r="4" spans="1:2" x14ac:dyDescent="0.2">
      <c r="A4" s="84" t="s">
        <v>75</v>
      </c>
      <c r="B4" s="85"/>
    </row>
    <row r="5" spans="1:2" x14ac:dyDescent="0.2">
      <c r="A5" s="86" t="s">
        <v>70</v>
      </c>
      <c r="B5" s="85">
        <v>1265</v>
      </c>
    </row>
    <row r="6" spans="1:2" x14ac:dyDescent="0.2">
      <c r="A6" s="86" t="s">
        <v>71</v>
      </c>
      <c r="B6" s="85">
        <v>2607</v>
      </c>
    </row>
    <row r="7" spans="1:2" x14ac:dyDescent="0.2">
      <c r="A7" s="86" t="s">
        <v>72</v>
      </c>
      <c r="B7" s="85">
        <v>2030</v>
      </c>
    </row>
    <row r="8" spans="1:2" x14ac:dyDescent="0.2">
      <c r="A8" s="86" t="s">
        <v>73</v>
      </c>
      <c r="B8" s="85">
        <v>2575</v>
      </c>
    </row>
    <row r="9" spans="1:2" x14ac:dyDescent="0.2">
      <c r="A9" s="86" t="s">
        <v>74</v>
      </c>
      <c r="B9" s="85">
        <v>11000</v>
      </c>
    </row>
    <row r="10" spans="1:2" x14ac:dyDescent="0.2">
      <c r="A10" s="86" t="s">
        <v>76</v>
      </c>
      <c r="B10" s="85">
        <v>25363</v>
      </c>
    </row>
    <row r="11" spans="1:2" x14ac:dyDescent="0.2">
      <c r="A11" s="84" t="s">
        <v>34</v>
      </c>
      <c r="B11" s="85">
        <v>44840</v>
      </c>
    </row>
    <row r="12" spans="1:2" x14ac:dyDescent="0.2">
      <c r="A12"/>
      <c r="B12"/>
    </row>
    <row r="13" spans="1:2" x14ac:dyDescent="0.2">
      <c r="A13"/>
      <c r="B13"/>
    </row>
    <row r="14" spans="1:2" x14ac:dyDescent="0.2">
      <c r="A14"/>
      <c r="B14"/>
    </row>
    <row r="15" spans="1:2" x14ac:dyDescent="0.2">
      <c r="A15"/>
      <c r="B15"/>
    </row>
    <row r="16" spans="1:2" x14ac:dyDescent="0.2">
      <c r="A16"/>
      <c r="B16"/>
    </row>
    <row r="17" spans="1:2" x14ac:dyDescent="0.2">
      <c r="A17"/>
      <c r="B17"/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workbookViewId="0">
      <selection activeCell="B14" sqref="B14"/>
    </sheetView>
  </sheetViews>
  <sheetFormatPr baseColWidth="10" defaultColWidth="8.83203125" defaultRowHeight="14" x14ac:dyDescent="0.2"/>
  <cols>
    <col min="1" max="1" width="12" style="1" bestFit="1" customWidth="1"/>
    <col min="2" max="2" width="7.5" style="1" bestFit="1" customWidth="1"/>
    <col min="3" max="16384" width="8.83203125" style="1"/>
  </cols>
  <sheetData>
    <row r="1" spans="1:2" ht="28" x14ac:dyDescent="0.2">
      <c r="A1" s="82" t="s">
        <v>33</v>
      </c>
      <c r="B1" s="83" t="s">
        <v>112</v>
      </c>
    </row>
    <row r="2" spans="1:2" x14ac:dyDescent="0.2">
      <c r="A2" s="84" t="s">
        <v>93</v>
      </c>
      <c r="B2" s="85">
        <v>23450</v>
      </c>
    </row>
    <row r="3" spans="1:2" x14ac:dyDescent="0.2">
      <c r="A3" s="84" t="s">
        <v>98</v>
      </c>
      <c r="B3" s="85">
        <v>6000</v>
      </c>
    </row>
    <row r="4" spans="1:2" x14ac:dyDescent="0.2">
      <c r="A4" s="84" t="s">
        <v>97</v>
      </c>
      <c r="B4" s="85">
        <v>5000</v>
      </c>
    </row>
    <row r="5" spans="1:2" x14ac:dyDescent="0.2">
      <c r="A5" s="84" t="s">
        <v>92</v>
      </c>
      <c r="B5" s="85">
        <v>2888</v>
      </c>
    </row>
    <row r="6" spans="1:2" x14ac:dyDescent="0.2">
      <c r="A6" s="84" t="s">
        <v>95</v>
      </c>
      <c r="B6" s="85">
        <v>2200</v>
      </c>
    </row>
    <row r="7" spans="1:2" x14ac:dyDescent="0.2">
      <c r="A7" s="84" t="s">
        <v>94</v>
      </c>
      <c r="B7" s="85">
        <v>1580</v>
      </c>
    </row>
    <row r="8" spans="1:2" x14ac:dyDescent="0.2">
      <c r="A8" s="84" t="s">
        <v>90</v>
      </c>
      <c r="B8" s="85">
        <v>1285</v>
      </c>
    </row>
    <row r="9" spans="1:2" x14ac:dyDescent="0.2">
      <c r="A9" s="84" t="s">
        <v>99</v>
      </c>
      <c r="B9" s="85">
        <v>875</v>
      </c>
    </row>
    <row r="10" spans="1:2" x14ac:dyDescent="0.2">
      <c r="A10" s="84" t="s">
        <v>91</v>
      </c>
      <c r="B10" s="85">
        <v>607</v>
      </c>
    </row>
    <row r="11" spans="1:2" x14ac:dyDescent="0.2">
      <c r="A11" s="84" t="s">
        <v>89</v>
      </c>
      <c r="B11" s="85">
        <v>440</v>
      </c>
    </row>
    <row r="12" spans="1:2" x14ac:dyDescent="0.2">
      <c r="A12" s="84" t="s">
        <v>96</v>
      </c>
      <c r="B12" s="85">
        <v>375</v>
      </c>
    </row>
    <row r="13" spans="1:2" x14ac:dyDescent="0.2">
      <c r="A13" s="84" t="s">
        <v>88</v>
      </c>
      <c r="B13" s="85">
        <v>140</v>
      </c>
    </row>
    <row r="14" spans="1:2" x14ac:dyDescent="0.2">
      <c r="A14" s="84" t="s">
        <v>108</v>
      </c>
      <c r="B14" s="85"/>
    </row>
    <row r="15" spans="1:2" x14ac:dyDescent="0.2">
      <c r="A15" s="84" t="s">
        <v>34</v>
      </c>
      <c r="B15" s="85">
        <v>44840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Export factura</vt:lpstr>
      <vt:lpstr>Export chitanta</vt:lpstr>
      <vt:lpstr>.</vt:lpstr>
      <vt:lpstr>Facturi</vt:lpstr>
      <vt:lpstr>Clienti</vt:lpstr>
      <vt:lpstr>..</vt:lpstr>
      <vt:lpstr>Incasat pe luna</vt:lpstr>
      <vt:lpstr>Facturat pe luna</vt:lpstr>
      <vt:lpstr>Incasari pe client</vt:lpstr>
      <vt:lpstr>linkuri  utile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Microsoft Office User</cp:lastModifiedBy>
  <cp:lastPrinted>2014-09-16T11:35:32Z</cp:lastPrinted>
  <dcterms:created xsi:type="dcterms:W3CDTF">2013-09-04T12:02:22Z</dcterms:created>
  <dcterms:modified xsi:type="dcterms:W3CDTF">2017-01-22T14:57:19Z</dcterms:modified>
</cp:coreProperties>
</file>